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backupFile="1" codeName="ThisWorkbook"/>
  <mc:AlternateContent xmlns:mc="http://schemas.openxmlformats.org/markup-compatibility/2006">
    <mc:Choice Requires="x15">
      <x15ac:absPath xmlns:x15ac="http://schemas.microsoft.com/office/spreadsheetml/2010/11/ac" url="C:\Users\alexi\Documents\scolaire\IPSA\AeroIpsa\SP-02\STABTRAJ\pro24_4_4_new\Beta\"/>
    </mc:Choice>
  </mc:AlternateContent>
  <xr:revisionPtr revIDLastSave="0" documentId="13_ncr:1_{4703FE7C-198B-4F2C-9595-C4A27DD5F46F}" xr6:coauthVersionLast="47" xr6:coauthVersionMax="47" xr10:uidLastSave="{00000000-0000-0000-0000-000000000000}"/>
  <bookViews>
    <workbookView xWindow="14400" yWindow="-16200" windowWidth="14400" windowHeight="15750"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Propu!$A$317:$A$346</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Stabilito!$B$97:$B$101</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 l="1"/>
  <c r="B43" i="1"/>
  <c r="C10" i="6"/>
  <c r="E10" i="6" s="1"/>
  <c r="C10" i="8" s="1"/>
  <c r="L324" i="4"/>
  <c r="L323" i="4"/>
  <c r="L322" i="4"/>
  <c r="L321" i="4"/>
  <c r="L320" i="4"/>
  <c r="L319" i="4"/>
  <c r="L318" i="4"/>
  <c r="L317"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K25" i="7"/>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5" i="4" s="1"/>
  <c r="I104" i="4"/>
  <c r="H104" i="4"/>
  <c r="G104" i="4"/>
  <c r="G105" i="4" s="1"/>
  <c r="F104" i="4"/>
  <c r="E104" i="4"/>
  <c r="E105" i="4" s="1"/>
  <c r="D104" i="4"/>
  <c r="C104" i="4"/>
  <c r="B104" i="4"/>
  <c r="L102" i="4"/>
  <c r="H102" i="4"/>
  <c r="B102" i="4"/>
  <c r="X99" i="4"/>
  <c r="W99" i="4"/>
  <c r="V99" i="4"/>
  <c r="U99" i="4"/>
  <c r="T99" i="4"/>
  <c r="S99" i="4"/>
  <c r="R100" i="4" s="1"/>
  <c r="R99" i="4"/>
  <c r="Q99" i="4"/>
  <c r="P99" i="4"/>
  <c r="P100" i="4" s="1"/>
  <c r="O99" i="4"/>
  <c r="N99" i="4"/>
  <c r="M99" i="4"/>
  <c r="L99" i="4"/>
  <c r="K99" i="4"/>
  <c r="J99" i="4"/>
  <c r="J100" i="4" s="1"/>
  <c r="I99" i="4"/>
  <c r="H99" i="4"/>
  <c r="G99" i="4"/>
  <c r="F99" i="4"/>
  <c r="E100" i="4"/>
  <c r="E99" i="4"/>
  <c r="D99" i="4"/>
  <c r="C99" i="4"/>
  <c r="B99" i="4"/>
  <c r="L97" i="4"/>
  <c r="H97" i="4"/>
  <c r="B97" i="4"/>
  <c r="X95" i="4"/>
  <c r="W95" i="4"/>
  <c r="V95" i="4"/>
  <c r="U95" i="4"/>
  <c r="T95" i="4"/>
  <c r="S95" i="4"/>
  <c r="R95" i="4"/>
  <c r="Q95" i="4"/>
  <c r="P95" i="4"/>
  <c r="O95" i="4"/>
  <c r="N95" i="4"/>
  <c r="M95" i="4"/>
  <c r="L95" i="4"/>
  <c r="K95" i="4"/>
  <c r="J95" i="4"/>
  <c r="I95" i="4"/>
  <c r="H95" i="4"/>
  <c r="D92" i="4" s="1"/>
  <c r="F92" i="4" s="1"/>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D133" i="4" s="1"/>
  <c r="F133" i="4" s="1"/>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C29" i="1" s="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D51" i="4" s="1"/>
  <c r="F51" i="4" s="1"/>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D56" i="4" s="1"/>
  <c r="F56" i="4" s="1"/>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D72" i="4" s="1"/>
  <c r="F72" i="4" s="1"/>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D77" i="4" s="1"/>
  <c r="F77" i="4" s="1"/>
  <c r="X80" i="4"/>
  <c r="J77" i="4"/>
  <c r="C84" i="4"/>
  <c r="B84" i="4"/>
  <c r="B85" i="4" s="1"/>
  <c r="D84" i="4"/>
  <c r="E84" i="4"/>
  <c r="F84" i="4"/>
  <c r="E85" i="4" s="1"/>
  <c r="G84" i="4"/>
  <c r="F85" i="4" s="1"/>
  <c r="H84" i="4"/>
  <c r="H85" i="4" s="1"/>
  <c r="I84" i="4"/>
  <c r="J84" i="4"/>
  <c r="K84" i="4"/>
  <c r="L84" i="4"/>
  <c r="L85" i="4" s="1"/>
  <c r="M84" i="4"/>
  <c r="N84" i="4"/>
  <c r="M85" i="4" s="1"/>
  <c r="O84" i="4"/>
  <c r="P84" i="4"/>
  <c r="Q84" i="4"/>
  <c r="P85" i="4" s="1"/>
  <c r="R84" i="4"/>
  <c r="S84" i="4"/>
  <c r="S85" i="4" s="1"/>
  <c r="T84" i="4"/>
  <c r="U84" i="4"/>
  <c r="V84" i="4"/>
  <c r="W84" i="4"/>
  <c r="V85" i="4" s="1"/>
  <c r="X84" i="4"/>
  <c r="W85" i="4" s="1"/>
  <c r="H82" i="4"/>
  <c r="L82" i="4"/>
  <c r="C89" i="4"/>
  <c r="B89" i="4"/>
  <c r="D89" i="4"/>
  <c r="D90" i="4" s="1"/>
  <c r="E89" i="4"/>
  <c r="F89" i="4"/>
  <c r="G89" i="4"/>
  <c r="F90" i="4" s="1"/>
  <c r="H89" i="4"/>
  <c r="I89" i="4"/>
  <c r="J89" i="4"/>
  <c r="J90" i="4" s="1"/>
  <c r="K89" i="4"/>
  <c r="L89" i="4"/>
  <c r="M89" i="4"/>
  <c r="N89" i="4"/>
  <c r="O89" i="4"/>
  <c r="O90" i="4" s="1"/>
  <c r="P89" i="4"/>
  <c r="Q89" i="4"/>
  <c r="R89" i="4"/>
  <c r="S89" i="4"/>
  <c r="R90" i="4" s="1"/>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D138" i="4" s="1"/>
  <c r="F138" i="4" s="1"/>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D153" i="4" s="1"/>
  <c r="F153" i="4" s="1"/>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D173" i="4" s="1"/>
  <c r="F173" i="4" s="1"/>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D183" i="4" s="1"/>
  <c r="F183" i="4" s="1"/>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E27"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120" i="4"/>
  <c r="T121" i="4" s="1"/>
  <c r="U85" i="4"/>
  <c r="O85" i="4"/>
  <c r="R216" i="4"/>
  <c r="V115" i="4"/>
  <c r="J87" i="4"/>
  <c r="S90" i="4"/>
  <c r="Q90" i="4"/>
  <c r="K90" i="4"/>
  <c r="I90" i="4"/>
  <c r="G90" i="4"/>
  <c r="T214" i="4"/>
  <c r="U214" i="4" s="1"/>
  <c r="V214" i="4" s="1"/>
  <c r="W214" i="4" s="1"/>
  <c r="D269" i="4"/>
  <c r="F269" i="4" s="1"/>
  <c r="X85" i="4"/>
  <c r="T85" i="4"/>
  <c r="R85" i="4"/>
  <c r="J85" i="4"/>
  <c r="D85" i="4"/>
  <c r="L90" i="4"/>
  <c r="D36" i="4"/>
  <c r="F36" i="4" s="1"/>
  <c r="D31" i="4"/>
  <c r="F31" i="4" s="1"/>
  <c r="U165" i="4"/>
  <c r="T166" i="4" s="1"/>
  <c r="R201" i="4"/>
  <c r="K196" i="4"/>
  <c r="T211" i="4"/>
  <c r="S226" i="4"/>
  <c r="S251" i="4"/>
  <c r="L246" i="4"/>
  <c r="K246" i="4"/>
  <c r="R251" i="4"/>
  <c r="U116" i="4"/>
  <c r="W115" i="4"/>
  <c r="X115" i="4" s="1"/>
  <c r="V116" i="4"/>
  <c r="U211" i="4"/>
  <c r="M246" i="4"/>
  <c r="V250" i="4"/>
  <c r="T251" i="4"/>
  <c r="V211" i="4"/>
  <c r="N246" i="4"/>
  <c r="X245" i="4"/>
  <c r="W211" i="4"/>
  <c r="X211" i="4"/>
  <c r="O246" i="4"/>
  <c r="P246" i="4"/>
  <c r="Q246" i="4"/>
  <c r="R246" i="4"/>
  <c r="S246" i="4"/>
  <c r="T246" i="4"/>
  <c r="U246" i="4"/>
  <c r="X244" i="4"/>
  <c r="V246" i="4"/>
  <c r="W130" i="4"/>
  <c r="V131" i="4" s="1"/>
  <c r="U125" i="4"/>
  <c r="V125" i="4" s="1"/>
  <c r="R241" i="4"/>
  <c r="P14" i="6"/>
  <c r="E11" i="7" s="1"/>
  <c r="C133" i="6"/>
  <c r="D161" i="6"/>
  <c r="E161" i="6" s="1"/>
  <c r="D158" i="6"/>
  <c r="E158" i="6" s="1"/>
  <c r="D162" i="6"/>
  <c r="E162" i="6" s="1"/>
  <c r="D160" i="6"/>
  <c r="E160" i="6" s="1"/>
  <c r="D159" i="6"/>
  <c r="E159" i="6" s="1"/>
  <c r="S206" i="4"/>
  <c r="R206" i="4"/>
  <c r="T206" i="4"/>
  <c r="U206" i="4"/>
  <c r="X205" i="4"/>
  <c r="W206" i="4" s="1"/>
  <c r="V206" i="4"/>
  <c r="X100" i="4"/>
  <c r="L105" i="4"/>
  <c r="C105" i="4"/>
  <c r="K105" i="4"/>
  <c r="O105" i="4"/>
  <c r="S100" i="4"/>
  <c r="U100" i="4"/>
  <c r="H100" i="4"/>
  <c r="Q100" i="4"/>
  <c r="Q105" i="4"/>
  <c r="I38" i="7" l="1"/>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X116" i="4"/>
  <c r="U239" i="4"/>
  <c r="V239" i="4" s="1"/>
  <c r="W239" i="4" s="1"/>
  <c r="X239" i="4" s="1"/>
  <c r="S241" i="4"/>
  <c r="U126" i="4"/>
  <c r="W125" i="4"/>
  <c r="S216" i="4"/>
  <c r="U215" i="4"/>
  <c r="T216" i="4" s="1"/>
  <c r="D309" i="4"/>
  <c r="F309" i="4" s="1"/>
  <c r="D299" i="4"/>
  <c r="F299" i="4" s="1"/>
  <c r="D294" i="4"/>
  <c r="F294" i="4" s="1"/>
  <c r="D208" i="4"/>
  <c r="F208" i="4" s="1"/>
  <c r="B90" i="4"/>
  <c r="U121" i="4"/>
  <c r="U110" i="4"/>
  <c r="J97" i="4"/>
  <c r="F100" i="4"/>
  <c r="N100" i="4"/>
  <c r="T100" i="4"/>
  <c r="V105" i="4"/>
  <c r="T241"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V241" i="4"/>
  <c r="U235" i="4"/>
  <c r="S236" i="4"/>
  <c r="D113" i="4"/>
  <c r="F113" i="4" s="1"/>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27" i="6"/>
  <c r="H45" i="7" s="1"/>
  <c r="C16" i="8"/>
  <c r="B68" i="8"/>
  <c r="C68" i="8" s="1"/>
  <c r="B56" i="8"/>
  <c r="C56" i="8" s="1"/>
  <c r="B58" i="8"/>
  <c r="C58" i="8" s="1"/>
  <c r="B62" i="8"/>
  <c r="C62" i="8" s="1"/>
  <c r="O18" i="6"/>
  <c r="D35" i="6"/>
  <c r="O21" i="6" s="1"/>
  <c r="B54" i="8"/>
  <c r="C54" i="8" s="1"/>
  <c r="D26" i="7"/>
  <c r="B53" i="8"/>
  <c r="C53" i="8" s="1"/>
  <c r="B60" i="8"/>
  <c r="C60" i="8" s="1"/>
  <c r="B66" i="8"/>
  <c r="C66" i="8" s="1"/>
  <c r="B52" i="8"/>
  <c r="C52" i="8" s="1"/>
  <c r="B57" i="8"/>
  <c r="C57" i="8" s="1"/>
  <c r="T14" i="6"/>
  <c r="C173" i="6"/>
  <c r="C172" i="6"/>
  <c r="C195" i="6"/>
  <c r="A317" i="4" a="1"/>
  <c r="A341" i="4" s="1"/>
  <c r="D148" i="4"/>
  <c r="F148" i="4" s="1"/>
  <c r="E107" i="7"/>
  <c r="H28" i="1"/>
  <c r="H67" i="7"/>
  <c r="H17" i="7"/>
  <c r="B107" i="1"/>
  <c r="E24" i="1"/>
  <c r="B109" i="1"/>
  <c r="H48" i="1"/>
  <c r="B158" i="1"/>
  <c r="B132" i="1"/>
  <c r="G4" i="3"/>
  <c r="C139" i="6"/>
  <c r="C134" i="6"/>
  <c r="C143" i="6"/>
  <c r="C146" i="6"/>
  <c r="AD4" i="3"/>
  <c r="E190" i="6"/>
  <c r="D32" i="1"/>
  <c r="I68" i="7" s="1"/>
  <c r="C11" i="8"/>
  <c r="AE4" i="3"/>
  <c r="T19" i="6"/>
  <c r="C142" i="6"/>
  <c r="C141" i="6"/>
  <c r="C145" i="6"/>
  <c r="I71" i="7"/>
  <c r="H5" i="7"/>
  <c r="B77" i="8"/>
  <c r="C196" i="6"/>
  <c r="B196" i="6" s="1"/>
  <c r="C147" i="6"/>
  <c r="E42" i="7"/>
  <c r="E193" i="6"/>
  <c r="E189" i="6"/>
  <c r="C183" i="6"/>
  <c r="J90" i="7"/>
  <c r="F118" i="7" s="1"/>
  <c r="C132" i="6"/>
  <c r="F27" i="7"/>
  <c r="H41" i="7"/>
  <c r="C137" i="6"/>
  <c r="C135" i="6"/>
  <c r="C138" i="6"/>
  <c r="E33" i="6"/>
  <c r="C144" i="6"/>
  <c r="T17" i="6"/>
  <c r="E14" i="7"/>
  <c r="B201" i="6"/>
  <c r="C201" i="6" s="1"/>
  <c r="B186" i="6"/>
  <c r="B200" i="6"/>
  <c r="C200" i="6" s="1"/>
  <c r="E183" i="6"/>
  <c r="B187" i="6"/>
  <c r="E184" i="6"/>
  <c r="B202" i="6"/>
  <c r="Q3" i="4"/>
  <c r="Y4" i="4"/>
  <c r="T3" i="4"/>
  <c r="C163" i="6" l="1"/>
  <c r="C166" i="6"/>
  <c r="C167" i="6"/>
  <c r="E4" i="7"/>
  <c r="V215" i="4"/>
  <c r="W215" i="4" s="1"/>
  <c r="V121" i="4"/>
  <c r="U241" i="4"/>
  <c r="D82" i="4"/>
  <c r="F82" i="4" s="1"/>
  <c r="D97" i="4"/>
  <c r="F97" i="4" s="1"/>
  <c r="D243" i="4"/>
  <c r="F243" i="4" s="1"/>
  <c r="W251" i="4"/>
  <c r="W165" i="4"/>
  <c r="D87" i="4"/>
  <c r="F87" i="4" s="1"/>
  <c r="O194" i="4"/>
  <c r="M196" i="4"/>
  <c r="V166" i="4"/>
  <c r="X165" i="4"/>
  <c r="V126" i="4"/>
  <c r="X125" i="4"/>
  <c r="V251" i="4"/>
  <c r="D248" i="4" s="1"/>
  <c r="F248" i="4" s="1"/>
  <c r="X131" i="4"/>
  <c r="W131" i="4"/>
  <c r="D128" i="4" s="1"/>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W4" i="4"/>
  <c r="Q4" i="4"/>
  <c r="X3" i="4"/>
  <c r="Z2" i="4"/>
  <c r="N3" i="4"/>
  <c r="V4" i="4"/>
  <c r="P3" i="4"/>
  <c r="F4" i="4"/>
  <c r="M3" i="4"/>
  <c r="T2" i="4"/>
  <c r="B4" i="4"/>
  <c r="I4" i="4"/>
  <c r="I3" i="4"/>
  <c r="V3" i="4"/>
  <c r="O4" i="4"/>
  <c r="D4" i="4"/>
  <c r="J4" i="4"/>
  <c r="X4" i="4"/>
  <c r="G4" i="4"/>
  <c r="V2" i="4"/>
  <c r="Y3" i="4"/>
  <c r="B3" i="4"/>
  <c r="R2" i="4"/>
  <c r="H2" i="4"/>
  <c r="L2" i="4"/>
  <c r="P4" i="4"/>
  <c r="R3" i="4"/>
  <c r="R4" i="4"/>
  <c r="G3" i="4"/>
  <c r="M4" i="4"/>
  <c r="S3" i="4"/>
  <c r="J3" i="4"/>
  <c r="K4" i="4"/>
  <c r="W3" i="4"/>
  <c r="P2" i="4"/>
  <c r="X2" i="4"/>
  <c r="N4" i="4"/>
  <c r="L4" i="4"/>
  <c r="E3" i="4"/>
  <c r="L3" i="4"/>
  <c r="U4" i="4"/>
  <c r="H3" i="4"/>
  <c r="C3" i="4"/>
  <c r="C4" i="4"/>
  <c r="O3" i="4"/>
  <c r="U3" i="4"/>
  <c r="J2" i="4"/>
  <c r="D3" i="4"/>
  <c r="F3" i="4"/>
  <c r="E4" i="4"/>
  <c r="H4" i="4"/>
  <c r="K3" i="4"/>
  <c r="T4" i="4"/>
  <c r="N2" i="4"/>
  <c r="S4" i="4"/>
  <c r="D166" i="6" l="1"/>
  <c r="E166" i="6" s="1"/>
  <c r="D167" i="6"/>
  <c r="E167" i="6" s="1"/>
  <c r="D163" i="6"/>
  <c r="E163" i="6" s="1"/>
  <c r="E28" i="6"/>
  <c r="D164" i="6"/>
  <c r="E164" i="6" s="1"/>
  <c r="D165" i="6"/>
  <c r="E165" i="6" s="1"/>
  <c r="A5" i="3"/>
  <c r="B5" i="3" s="1"/>
  <c r="Z5" i="3" s="1"/>
  <c r="N12" i="6"/>
  <c r="N14" i="6"/>
  <c r="I41" i="7" s="1"/>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D59" i="8"/>
  <c r="E59" i="8" s="1"/>
  <c r="D68" i="8"/>
  <c r="F68" i="8" s="1"/>
  <c r="I68" i="8" s="1"/>
  <c r="D61" i="8"/>
  <c r="F61" i="8" s="1"/>
  <c r="I61" i="8" s="1"/>
  <c r="D49" i="8"/>
  <c r="E49" i="8" s="1"/>
  <c r="D53" i="8"/>
  <c r="E53" i="8" s="1"/>
  <c r="M14" i="6"/>
  <c r="M12" i="6"/>
  <c r="D54" i="8"/>
  <c r="E54" i="8" s="1"/>
  <c r="H54" i="8" s="1"/>
  <c r="D65" i="8"/>
  <c r="E65" i="8" s="1"/>
  <c r="D66" i="8"/>
  <c r="E66" i="8" s="1"/>
  <c r="H66" i="8" s="1"/>
  <c r="D55" i="8"/>
  <c r="F55" i="8" s="1"/>
  <c r="I55" i="8" s="1"/>
  <c r="D64" i="8"/>
  <c r="E64" i="8" s="1"/>
  <c r="H64" i="8" s="1"/>
  <c r="D44" i="8"/>
  <c r="E44" i="8" s="1"/>
  <c r="D67" i="8"/>
  <c r="E67" i="8" s="1"/>
  <c r="H67" i="8" s="1"/>
  <c r="D58" i="8"/>
  <c r="F58" i="8" s="1"/>
  <c r="I58" i="8" s="1"/>
  <c r="D69" i="8"/>
  <c r="F69" i="8" s="1"/>
  <c r="I69" i="8" s="1"/>
  <c r="D57" i="8"/>
  <c r="E57" i="8" s="1"/>
  <c r="D46" i="8"/>
  <c r="F46" i="8" s="1"/>
  <c r="D62" i="8"/>
  <c r="F62" i="8" s="1"/>
  <c r="I62" i="8" s="1"/>
  <c r="D43" i="8"/>
  <c r="E43" i="8" s="1"/>
  <c r="D50" i="8"/>
  <c r="F50" i="8" s="1"/>
  <c r="D48" i="8"/>
  <c r="F48" i="8" s="1"/>
  <c r="D47" i="8"/>
  <c r="E47" i="8" s="1"/>
  <c r="D45" i="8"/>
  <c r="E45" i="8" s="1"/>
  <c r="D52" i="8"/>
  <c r="F52" i="8" s="1"/>
  <c r="I52" i="8" s="1"/>
  <c r="D63" i="8"/>
  <c r="E63" i="8" s="1"/>
  <c r="H63" i="8" s="1"/>
  <c r="D56" i="8"/>
  <c r="F56" i="8" s="1"/>
  <c r="I56" i="8" s="1"/>
  <c r="D60" i="8"/>
  <c r="E60" i="8" s="1"/>
  <c r="D51" i="8"/>
  <c r="E51" i="8" s="1"/>
  <c r="W166" i="4"/>
  <c r="X166" i="4"/>
  <c r="E127" i="6"/>
  <c r="D128" i="6"/>
  <c r="W110" i="4"/>
  <c r="U111" i="4"/>
  <c r="X126" i="4"/>
  <c r="W126" i="4"/>
  <c r="D123" i="4" s="1"/>
  <c r="D118" i="4"/>
  <c r="F118" i="4" s="1"/>
  <c r="D163" i="4"/>
  <c r="F163" i="4" s="1"/>
  <c r="W235" i="4"/>
  <c r="U236" i="4"/>
  <c r="W200" i="4"/>
  <c r="U201" i="4"/>
  <c r="X215" i="4"/>
  <c r="V216" i="4"/>
  <c r="V226" i="4"/>
  <c r="X225" i="4"/>
  <c r="X190" i="4"/>
  <c r="V191" i="4"/>
  <c r="I31" i="6"/>
  <c r="C154" i="6" s="1"/>
  <c r="E29" i="6"/>
  <c r="C191" i="6"/>
  <c r="D153" i="6"/>
  <c r="C192" i="6"/>
  <c r="C11" i="1" l="1"/>
  <c r="S4" i="3" s="1"/>
  <c r="T4" i="3" s="1"/>
  <c r="U4" i="3" s="1"/>
  <c r="P15" i="6"/>
  <c r="M15" i="6" s="1"/>
  <c r="J42" i="7" s="1"/>
  <c r="E35" i="6"/>
  <c r="O22" i="6" s="1"/>
  <c r="O19" i="6" s="1"/>
  <c r="H28" i="6" s="1"/>
  <c r="C190" i="6" s="1"/>
  <c r="M22" i="6"/>
  <c r="C164" i="6"/>
  <c r="C165" i="6"/>
  <c r="AC5" i="3"/>
  <c r="P5" i="3"/>
  <c r="Q5" i="3" s="1"/>
  <c r="A6" i="3"/>
  <c r="B6" i="3" s="1"/>
  <c r="AC6" i="3" s="1"/>
  <c r="I50" i="8"/>
  <c r="E50" i="8"/>
  <c r="E110" i="7"/>
  <c r="E48" i="8"/>
  <c r="C25" i="1"/>
  <c r="C32" i="1" s="1"/>
  <c r="K49" i="1" s="1"/>
  <c r="AA5" i="3"/>
  <c r="AD5" i="3"/>
  <c r="F66" i="8"/>
  <c r="I66" i="8" s="1"/>
  <c r="E55" i="8"/>
  <c r="H55" i="8" s="1"/>
  <c r="H65" i="8"/>
  <c r="F65" i="8"/>
  <c r="I65" i="8" s="1"/>
  <c r="F63" i="8"/>
  <c r="I63" i="8" s="1"/>
  <c r="H57" i="8"/>
  <c r="F57" i="8"/>
  <c r="I57" i="8" s="1"/>
  <c r="F64" i="8"/>
  <c r="I64" i="8" s="1"/>
  <c r="F44" i="8"/>
  <c r="I44" i="8" s="1"/>
  <c r="I46" i="8"/>
  <c r="H43" i="8"/>
  <c r="C204" i="6"/>
  <c r="H44" i="8"/>
  <c r="I48" i="8"/>
  <c r="H45" i="8"/>
  <c r="H53" i="8"/>
  <c r="F107" i="7"/>
  <c r="E58" i="7"/>
  <c r="H65" i="7" s="1"/>
  <c r="H60" i="8"/>
  <c r="F53" i="8"/>
  <c r="I53" i="8" s="1"/>
  <c r="H59" i="8"/>
  <c r="J41" i="7"/>
  <c r="E52" i="8"/>
  <c r="H52" i="8" s="1"/>
  <c r="F51" i="8"/>
  <c r="I51" i="8" s="1"/>
  <c r="F67" i="8"/>
  <c r="I67" i="8" s="1"/>
  <c r="E68" i="8"/>
  <c r="H68" i="8" s="1"/>
  <c r="F59" i="8"/>
  <c r="I59" i="8" s="1"/>
  <c r="F49" i="8"/>
  <c r="I49" i="8" s="1"/>
  <c r="E69" i="8"/>
  <c r="H69" i="8" s="1"/>
  <c r="F54" i="8"/>
  <c r="I54" i="8" s="1"/>
  <c r="Q194" i="4"/>
  <c r="O196" i="4"/>
  <c r="H49" i="8"/>
  <c r="C12" i="8"/>
  <c r="E46" i="8"/>
  <c r="H47" i="8"/>
  <c r="H51" i="8"/>
  <c r="F60" i="8"/>
  <c r="I60" i="8" s="1"/>
  <c r="F45" i="8"/>
  <c r="I45" i="8" s="1"/>
  <c r="F43" i="8"/>
  <c r="I43" i="8" s="1"/>
  <c r="E62" i="8"/>
  <c r="H62" i="8" s="1"/>
  <c r="E61" i="8"/>
  <c r="F47" i="8"/>
  <c r="I47" i="8" s="1"/>
  <c r="E56" i="8"/>
  <c r="H56" i="8" s="1"/>
  <c r="E58" i="8"/>
  <c r="V111" i="4"/>
  <c r="X110" i="4"/>
  <c r="E128" i="6"/>
  <c r="D129" i="6"/>
  <c r="X200" i="4"/>
  <c r="V201" i="4"/>
  <c r="W226" i="4"/>
  <c r="X226" i="4"/>
  <c r="X191" i="4"/>
  <c r="W191" i="4"/>
  <c r="W216" i="4"/>
  <c r="X216" i="4"/>
  <c r="V236" i="4"/>
  <c r="X235" i="4"/>
  <c r="C153" i="6"/>
  <c r="N15" i="6" l="1"/>
  <c r="I42" i="7" s="1"/>
  <c r="H42" i="7"/>
  <c r="E108" i="7"/>
  <c r="D23" i="7"/>
  <c r="M19" i="6"/>
  <c r="H31" i="6" s="1"/>
  <c r="H29" i="6" s="1"/>
  <c r="H47" i="7" s="1"/>
  <c r="AA6" i="3"/>
  <c r="H48" i="8"/>
  <c r="P29" i="1"/>
  <c r="A7" i="3"/>
  <c r="B7" i="3" s="1"/>
  <c r="P7" i="3" s="1"/>
  <c r="Q7" i="3" s="1"/>
  <c r="AD6" i="3"/>
  <c r="P6" i="3"/>
  <c r="Q6" i="3" s="1"/>
  <c r="H71" i="7"/>
  <c r="Z6" i="3"/>
  <c r="H68" i="7"/>
  <c r="H16" i="7"/>
  <c r="P28" i="1"/>
  <c r="H50" i="8"/>
  <c r="C149" i="6"/>
  <c r="H46" i="8"/>
  <c r="H46" i="7"/>
  <c r="D152" i="6"/>
  <c r="H13" i="7"/>
  <c r="H58" i="8"/>
  <c r="R194" i="4"/>
  <c r="P196" i="4"/>
  <c r="F108" i="7"/>
  <c r="D213" i="4"/>
  <c r="F213" i="4" s="1"/>
  <c r="B191" i="6"/>
  <c r="C194" i="6"/>
  <c r="H61" i="8"/>
  <c r="D223" i="4"/>
  <c r="F223" i="4" s="1"/>
  <c r="X111" i="4"/>
  <c r="W111" i="4"/>
  <c r="D108" i="4" s="1"/>
  <c r="D188" i="4"/>
  <c r="F188" i="4" s="1"/>
  <c r="D130" i="6"/>
  <c r="E130" i="6" s="1"/>
  <c r="E129" i="6"/>
  <c r="S28" i="6"/>
  <c r="C193" i="6"/>
  <c r="X236" i="4"/>
  <c r="W236" i="4"/>
  <c r="W201" i="4"/>
  <c r="X201" i="4"/>
  <c r="D198" i="4" s="1"/>
  <c r="D2" i="4"/>
  <c r="C155" i="6" l="1"/>
  <c r="I29" i="6"/>
  <c r="I47" i="7" s="1"/>
  <c r="C150" i="6"/>
  <c r="B192" i="6"/>
  <c r="B193" i="6"/>
  <c r="H32" i="6"/>
  <c r="I32" i="6"/>
  <c r="C157" i="6"/>
  <c r="C152" i="6"/>
  <c r="C151" i="6"/>
  <c r="G57" i="8"/>
  <c r="G65" i="8"/>
  <c r="G49" i="8"/>
  <c r="G59" i="8"/>
  <c r="G51" i="8"/>
  <c r="G64" i="8"/>
  <c r="G54" i="8"/>
  <c r="G63" i="8"/>
  <c r="G44" i="8"/>
  <c r="G45" i="8"/>
  <c r="G53" i="8"/>
  <c r="G43" i="8"/>
  <c r="G60" i="8"/>
  <c r="G47" i="8"/>
  <c r="G66" i="8"/>
  <c r="G67" i="8"/>
  <c r="G48" i="8"/>
  <c r="K48" i="8" s="1"/>
  <c r="M48" i="8" s="1"/>
  <c r="G52" i="8"/>
  <c r="J52" i="8" s="1"/>
  <c r="G68" i="8"/>
  <c r="J68" i="8" s="1"/>
  <c r="G56" i="8"/>
  <c r="J56" i="8" s="1"/>
  <c r="G50" i="8"/>
  <c r="K50" i="8" s="1"/>
  <c r="G61" i="8"/>
  <c r="K61" i="8" s="1"/>
  <c r="M61" i="8" s="1"/>
  <c r="G46" i="8"/>
  <c r="K46" i="8" s="1"/>
  <c r="M46" i="8" s="1"/>
  <c r="G62" i="8"/>
  <c r="J62" i="8" s="1"/>
  <c r="G58" i="8"/>
  <c r="K58" i="8" s="1"/>
  <c r="M58" i="8" s="1"/>
  <c r="G69" i="8"/>
  <c r="J69" i="8" s="1"/>
  <c r="G55" i="8"/>
  <c r="K55" i="8" s="1"/>
  <c r="M55" i="8" s="1"/>
  <c r="F198" i="4"/>
  <c r="A8" i="3"/>
  <c r="B8" i="3" s="1"/>
  <c r="Z8" i="3" s="1"/>
  <c r="Z7" i="3"/>
  <c r="AD7" i="3"/>
  <c r="AA7" i="3"/>
  <c r="AC7" i="3"/>
  <c r="H14" i="7"/>
  <c r="B194" i="6"/>
  <c r="H30" i="6"/>
  <c r="H48" i="7" s="1"/>
  <c r="B190" i="6"/>
  <c r="S194" i="4"/>
  <c r="Q196" i="4"/>
  <c r="F108" i="4"/>
  <c r="D233" i="4"/>
  <c r="F233" i="4" s="1"/>
  <c r="F2" i="4"/>
  <c r="S29" i="6" l="1"/>
  <c r="I30" i="6"/>
  <c r="I48" i="7" s="1"/>
  <c r="I14" i="7"/>
  <c r="C156" i="6"/>
  <c r="J58" i="8"/>
  <c r="L58" i="8" s="1"/>
  <c r="J61" i="8"/>
  <c r="L61" i="8" s="1"/>
  <c r="J46" i="8"/>
  <c r="L46" i="8" s="1"/>
  <c r="J50" i="8"/>
  <c r="L50" i="8" s="1"/>
  <c r="K62" i="8"/>
  <c r="M62" i="8" s="1"/>
  <c r="K69" i="8"/>
  <c r="M69" i="8" s="1"/>
  <c r="J55" i="8"/>
  <c r="L55" i="8" s="1"/>
  <c r="R5" i="3"/>
  <c r="S5" i="3" s="1"/>
  <c r="T5" i="3" s="1"/>
  <c r="R6" i="3"/>
  <c r="R7" i="3"/>
  <c r="K67" i="8"/>
  <c r="M67" i="8" s="1"/>
  <c r="J67" i="8"/>
  <c r="K43" i="8"/>
  <c r="M43" i="8" s="1"/>
  <c r="J43" i="8"/>
  <c r="J48" i="8"/>
  <c r="L48" i="8" s="1"/>
  <c r="J44" i="8"/>
  <c r="K44" i="8"/>
  <c r="M44" i="8" s="1"/>
  <c r="K54" i="8"/>
  <c r="M54" i="8" s="1"/>
  <c r="J54" i="8"/>
  <c r="K51" i="8"/>
  <c r="M51" i="8" s="1"/>
  <c r="J51" i="8"/>
  <c r="K65" i="8"/>
  <c r="M65" i="8" s="1"/>
  <c r="J65" i="8"/>
  <c r="K66" i="8"/>
  <c r="M66" i="8" s="1"/>
  <c r="J66" i="8"/>
  <c r="J47" i="8"/>
  <c r="K47" i="8"/>
  <c r="M47" i="8" s="1"/>
  <c r="J60" i="8"/>
  <c r="K60" i="8"/>
  <c r="M60" i="8" s="1"/>
  <c r="J53" i="8"/>
  <c r="K53" i="8"/>
  <c r="M53" i="8" s="1"/>
  <c r="K56" i="8"/>
  <c r="M56" i="8" s="1"/>
  <c r="J45" i="8"/>
  <c r="K45" i="8"/>
  <c r="M45" i="8" s="1"/>
  <c r="J63" i="8"/>
  <c r="K63" i="8"/>
  <c r="M63" i="8" s="1"/>
  <c r="K52" i="8"/>
  <c r="M52" i="8" s="1"/>
  <c r="J64" i="8"/>
  <c r="K64" i="8"/>
  <c r="M64" i="8" s="1"/>
  <c r="K68" i="8"/>
  <c r="M68" i="8" s="1"/>
  <c r="J59" i="8"/>
  <c r="K59" i="8"/>
  <c r="K49" i="8"/>
  <c r="M49" i="8" s="1"/>
  <c r="J49" i="8"/>
  <c r="J57" i="8"/>
  <c r="K57" i="8"/>
  <c r="M57" i="8" s="1"/>
  <c r="AC8" i="3"/>
  <c r="A9" i="3"/>
  <c r="B9" i="3" s="1"/>
  <c r="P9" i="3" s="1"/>
  <c r="Q9" i="3" s="1"/>
  <c r="R9" i="3" s="1"/>
  <c r="P8" i="3"/>
  <c r="Q8" i="3" s="1"/>
  <c r="R8" i="3" s="1"/>
  <c r="AD8" i="3"/>
  <c r="AA8" i="3"/>
  <c r="M50" i="8"/>
  <c r="H15" i="7"/>
  <c r="R196" i="4"/>
  <c r="T194" i="4"/>
  <c r="S30" i="6" l="1"/>
  <c r="H33" i="6"/>
  <c r="I15" i="7"/>
  <c r="L49" i="8"/>
  <c r="L65" i="8"/>
  <c r="L67" i="8"/>
  <c r="L51" i="8"/>
  <c r="S6" i="3"/>
  <c r="T6" i="3" s="1"/>
  <c r="L66" i="8"/>
  <c r="L43" i="8"/>
  <c r="L56" i="8"/>
  <c r="L68" i="8"/>
  <c r="L69" i="8"/>
  <c r="L62" i="8"/>
  <c r="L52" i="8"/>
  <c r="L54" i="8"/>
  <c r="L44" i="8"/>
  <c r="L57" i="8"/>
  <c r="L63" i="8"/>
  <c r="L45" i="8"/>
  <c r="L53" i="8"/>
  <c r="L60" i="8"/>
  <c r="L47" i="8"/>
  <c r="L59" i="8"/>
  <c r="M59" i="8"/>
  <c r="L64" i="8"/>
  <c r="AG5" i="3"/>
  <c r="AH5" i="3"/>
  <c r="D5" i="3"/>
  <c r="E5" i="3"/>
  <c r="H5" i="3" s="1"/>
  <c r="K5" i="3" s="1"/>
  <c r="AC9" i="3"/>
  <c r="AA9" i="3"/>
  <c r="AD9" i="3"/>
  <c r="Z9" i="3"/>
  <c r="A10" i="3"/>
  <c r="B10" i="3" s="1"/>
  <c r="A11" i="3" s="1"/>
  <c r="B11" i="3" s="1"/>
  <c r="AC11" i="3" s="1"/>
  <c r="U194" i="4"/>
  <c r="S196" i="4"/>
  <c r="S7" i="3" l="1"/>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E6" i="3"/>
  <c r="H6" i="3" s="1"/>
  <c r="K6" i="3" s="1"/>
  <c r="L6" i="3" s="1"/>
  <c r="D193" i="4"/>
  <c r="AA15" i="3"/>
  <c r="P15" i="3"/>
  <c r="Q15" i="3" s="1"/>
  <c r="R15" i="3" s="1"/>
  <c r="AC15" i="3"/>
  <c r="Z15" i="3"/>
  <c r="AD15" i="3"/>
  <c r="A16" i="3"/>
  <c r="B16" i="3" s="1"/>
  <c r="M6" i="3" l="1"/>
  <c r="N6" i="3" s="1"/>
  <c r="S11" i="3"/>
  <c r="T11" i="3" s="1"/>
  <c r="V6" i="3"/>
  <c r="AE6" i="3"/>
  <c r="F6" i="3"/>
  <c r="I6" i="3"/>
  <c r="F193" i="4"/>
  <c r="AA16" i="3"/>
  <c r="AD16" i="3"/>
  <c r="AC16" i="3"/>
  <c r="P16" i="3"/>
  <c r="Q16" i="3" s="1"/>
  <c r="R16" i="3" s="1"/>
  <c r="Z16" i="3"/>
  <c r="A17" i="3"/>
  <c r="B17" i="3" s="1"/>
  <c r="Y5" i="3"/>
  <c r="U6" i="3" l="1"/>
  <c r="N36" i="1"/>
  <c r="M37" i="6"/>
  <c r="S12" i="3"/>
  <c r="S13" i="3" s="1"/>
  <c r="W6" i="3"/>
  <c r="P17" i="3"/>
  <c r="Q17" i="3" s="1"/>
  <c r="R17" i="3" s="1"/>
  <c r="A18" i="3"/>
  <c r="B18" i="3" s="1"/>
  <c r="AC17" i="3"/>
  <c r="Z17" i="3"/>
  <c r="AD17" i="3"/>
  <c r="AA17" i="3"/>
  <c r="E7" i="3" l="1"/>
  <c r="H7" i="3" s="1"/>
  <c r="K7" i="3" s="1"/>
  <c r="T12" i="3"/>
  <c r="AH7" i="3"/>
  <c r="AG7" i="3"/>
  <c r="D7" i="3"/>
  <c r="G7" i="3" s="1"/>
  <c r="S14" i="3"/>
  <c r="T13" i="3"/>
  <c r="AA18" i="3"/>
  <c r="P18" i="3"/>
  <c r="Q18" i="3" s="1"/>
  <c r="R18" i="3" s="1"/>
  <c r="AC18" i="3"/>
  <c r="A19" i="3"/>
  <c r="B19" i="3" s="1"/>
  <c r="AD18" i="3"/>
  <c r="Z18" i="3"/>
  <c r="M7" i="3" l="1"/>
  <c r="N7" i="3" s="1"/>
  <c r="J7" i="3"/>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AD34" i="3" s="1"/>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AD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AD84" i="3" s="1"/>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D112" i="3" l="1"/>
  <c r="AA112" i="3"/>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AD122" i="3"/>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AD132" i="3" l="1"/>
  <c r="P132" i="3"/>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AD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AD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D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M172" i="3"/>
  <c r="N172" i="3" s="1"/>
  <c r="L172" i="3" l="1"/>
  <c r="U172" i="3" l="1"/>
  <c r="E173" i="3" s="1"/>
  <c r="H173" i="3" s="1"/>
  <c r="AH173" i="3"/>
  <c r="AG173" i="3"/>
  <c r="Y171" i="3"/>
  <c r="D173" i="3" l="1"/>
  <c r="G173" i="3" s="1"/>
  <c r="K173" i="3"/>
  <c r="A174" i="3" s="1"/>
  <c r="B174" i="3" s="1"/>
  <c r="AD174" i="3" l="1"/>
  <c r="P174" i="3"/>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AD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M182" i="3"/>
  <c r="N182" i="3" s="1"/>
  <c r="L182" i="3" l="1"/>
  <c r="U182" i="3" l="1"/>
  <c r="E183" i="3" s="1"/>
  <c r="H183" i="3" s="1"/>
  <c r="AH183" i="3"/>
  <c r="AG183" i="3"/>
  <c r="Y181" i="3"/>
  <c r="D183" i="3" l="1"/>
  <c r="G183" i="3" s="1"/>
  <c r="K183" i="3"/>
  <c r="A184" i="3" s="1"/>
  <c r="B184" i="3" s="1"/>
  <c r="Z184" i="3" l="1"/>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AD184" i="3" s="1"/>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D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AD194" i="3" l="1"/>
  <c r="P194" i="3"/>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AD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AD212" i="3" s="1"/>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T217" i="3" l="1"/>
  <c r="D217" i="3" s="1"/>
  <c r="G217" i="3" l="1"/>
  <c r="AG217" i="3"/>
  <c r="AH217" i="3"/>
  <c r="E217" i="3"/>
  <c r="H217" i="3" s="1"/>
  <c r="I217" i="3" l="1"/>
  <c r="J217" i="3"/>
  <c r="AD217" i="3" s="1"/>
  <c r="M217" i="3"/>
  <c r="N217" i="3" s="1"/>
  <c r="K217" i="3"/>
  <c r="AE217" i="3" s="1"/>
  <c r="F217" i="3"/>
  <c r="V217" i="3" l="1"/>
  <c r="W217" i="3" s="1"/>
  <c r="A218" i="3"/>
  <c r="B218" i="3" s="1"/>
  <c r="L217" i="3"/>
  <c r="U217" i="3" l="1"/>
  <c r="Y216" i="3"/>
  <c r="AC218" i="3"/>
  <c r="AA218" i="3"/>
  <c r="Z218" i="3"/>
  <c r="P218" i="3"/>
  <c r="Q218" i="3" s="1"/>
  <c r="R218" i="3" s="1"/>
  <c r="S218" i="3" s="1"/>
  <c r="T218" i="3" l="1"/>
  <c r="AG218" i="3" s="1"/>
  <c r="AH218" i="3" l="1"/>
  <c r="E218" i="3"/>
  <c r="H218" i="3" s="1"/>
  <c r="K218" i="3" s="1"/>
  <c r="AE218" i="3" s="1"/>
  <c r="D218" i="3"/>
  <c r="G218" i="3" s="1"/>
  <c r="F218" i="3" l="1"/>
  <c r="I218" i="3"/>
  <c r="J218" i="3"/>
  <c r="AD218" i="3" s="1"/>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U221" i="3"/>
  <c r="Y220" i="3"/>
  <c r="T222" i="3" l="1"/>
  <c r="AH222" i="3" s="1"/>
  <c r="E222" i="3" l="1"/>
  <c r="H222" i="3" s="1"/>
  <c r="AG222" i="3"/>
  <c r="D222" i="3"/>
  <c r="F222" i="3" l="1"/>
  <c r="G222" i="3"/>
  <c r="K222" i="3"/>
  <c r="AE222" i="3" s="1"/>
  <c r="I222" i="3" l="1"/>
  <c r="J222" i="3"/>
  <c r="AD222" i="3" s="1"/>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Z225" i="3"/>
  <c r="U224" i="3" l="1"/>
  <c r="Y223" i="3"/>
  <c r="T225" i="3"/>
  <c r="AG225" i="3" s="1"/>
  <c r="AH225" i="3" l="1"/>
  <c r="E225" i="3"/>
  <c r="H225" i="3" s="1"/>
  <c r="D225" i="3"/>
  <c r="K225" i="3" l="1"/>
  <c r="AE225" i="3" s="1"/>
  <c r="F225" i="3"/>
  <c r="G225" i="3"/>
  <c r="I225" i="3" l="1"/>
  <c r="J225" i="3"/>
  <c r="AD225" i="3" s="1"/>
  <c r="M225" i="3"/>
  <c r="N225" i="3" s="1"/>
  <c r="V225" i="3"/>
  <c r="A226" i="3"/>
  <c r="B226" i="3" s="1"/>
  <c r="W225" i="3" l="1"/>
  <c r="L225" i="3"/>
  <c r="Z226" i="3"/>
  <c r="AA226" i="3"/>
  <c r="P226" i="3"/>
  <c r="Q226" i="3" s="1"/>
  <c r="R226" i="3" s="1"/>
  <c r="S226" i="3" s="1"/>
  <c r="AC226" i="3"/>
  <c r="U225" i="3" l="1"/>
  <c r="Y224" i="3"/>
  <c r="T226" i="3"/>
  <c r="D226" i="3" l="1"/>
  <c r="G226" i="3" s="1"/>
  <c r="AH226" i="3"/>
  <c r="AG226" i="3"/>
  <c r="E226" i="3"/>
  <c r="H226" i="3" s="1"/>
  <c r="F226" i="3" l="1"/>
  <c r="I226" i="3"/>
  <c r="J226" i="3"/>
  <c r="AD226" i="3" s="1"/>
  <c r="M226" i="3"/>
  <c r="N226" i="3" s="1"/>
  <c r="K226" i="3"/>
  <c r="AE226" i="3" s="1"/>
  <c r="V226" i="3" l="1"/>
  <c r="W226" i="3" s="1"/>
  <c r="A227" i="3"/>
  <c r="B227" i="3" s="1"/>
  <c r="L226" i="3"/>
  <c r="U226" i="3" l="1"/>
  <c r="Y225" i="3"/>
  <c r="P227" i="3"/>
  <c r="Q227" i="3" s="1"/>
  <c r="R227" i="3" s="1"/>
  <c r="S227" i="3" s="1"/>
  <c r="AA227" i="3"/>
  <c r="Z227" i="3"/>
  <c r="AC227" i="3"/>
  <c r="T227" i="3" l="1"/>
  <c r="D227" i="3" s="1"/>
  <c r="E227" i="3" l="1"/>
  <c r="H227" i="3" s="1"/>
  <c r="K227" i="3" s="1"/>
  <c r="AE227" i="3" s="1"/>
  <c r="AH227" i="3"/>
  <c r="AG227" i="3"/>
  <c r="G227" i="3"/>
  <c r="F227" i="3" l="1"/>
  <c r="V227" i="3"/>
  <c r="A228" i="3"/>
  <c r="B228" i="3" s="1"/>
  <c r="I227" i="3"/>
  <c r="J227" i="3"/>
  <c r="AD227" i="3" s="1"/>
  <c r="M227" i="3"/>
  <c r="N227" i="3" s="1"/>
  <c r="L227" i="3" l="1"/>
  <c r="W227"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AD228" i="3" s="1"/>
  <c r="M228" i="3"/>
  <c r="N228" i="3" s="1"/>
  <c r="W228" i="3" l="1"/>
  <c r="L228" i="3"/>
  <c r="AA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AD229" i="3" s="1"/>
  <c r="M229" i="3"/>
  <c r="N229" i="3" s="1"/>
  <c r="L229" i="3" l="1"/>
  <c r="W229" i="3"/>
  <c r="P230" i="3"/>
  <c r="Q230" i="3" s="1"/>
  <c r="R230" i="3" s="1"/>
  <c r="S230" i="3" s="1"/>
  <c r="AA230" i="3"/>
  <c r="AC230" i="3"/>
  <c r="Z230" i="3"/>
  <c r="U229" i="3" l="1"/>
  <c r="Y228" i="3"/>
  <c r="T230" i="3"/>
  <c r="AH230" i="3" s="1"/>
  <c r="AG230" i="3" l="1"/>
  <c r="D230" i="3"/>
  <c r="E230" i="3"/>
  <c r="H230" i="3" s="1"/>
  <c r="K230" i="3" l="1"/>
  <c r="AE230" i="3" s="1"/>
  <c r="F230" i="3"/>
  <c r="G230" i="3"/>
  <c r="I230" i="3" l="1"/>
  <c r="J230" i="3"/>
  <c r="AD230" i="3" s="1"/>
  <c r="M230" i="3"/>
  <c r="N230" i="3" s="1"/>
  <c r="V230" i="3"/>
  <c r="A231" i="3"/>
  <c r="B231" i="3" s="1"/>
  <c r="W230" i="3" l="1"/>
  <c r="L230"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AD231" i="3" s="1"/>
  <c r="M231" i="3"/>
  <c r="N231" i="3" s="1"/>
  <c r="L231" i="3" l="1"/>
  <c r="W231" i="3"/>
  <c r="P232" i="3"/>
  <c r="Q232" i="3" s="1"/>
  <c r="R232" i="3" s="1"/>
  <c r="S232" i="3" s="1"/>
  <c r="Z232" i="3"/>
  <c r="AA232" i="3"/>
  <c r="AC232" i="3"/>
  <c r="U231" i="3" l="1"/>
  <c r="Y230" i="3"/>
  <c r="T232" i="3"/>
  <c r="D232" i="3" l="1"/>
  <c r="G232" i="3" s="1"/>
  <c r="AG232" i="3"/>
  <c r="E232" i="3"/>
  <c r="H232" i="3" s="1"/>
  <c r="AH232" i="3"/>
  <c r="F232" i="3" l="1"/>
  <c r="I232" i="3"/>
  <c r="J232" i="3"/>
  <c r="AD232" i="3" s="1"/>
  <c r="M232" i="3"/>
  <c r="N232" i="3" s="1"/>
  <c r="K232" i="3"/>
  <c r="AE232" i="3" s="1"/>
  <c r="V232" i="3" l="1"/>
  <c r="W232" i="3" s="1"/>
  <c r="A233" i="3"/>
  <c r="B233" i="3" s="1"/>
  <c r="L232" i="3"/>
  <c r="U232" i="3" l="1"/>
  <c r="Y231" i="3"/>
  <c r="AA233" i="3"/>
  <c r="AC233" i="3"/>
  <c r="P233" i="3"/>
  <c r="Q233" i="3" s="1"/>
  <c r="R233" i="3" s="1"/>
  <c r="S233" i="3" s="1"/>
  <c r="Z233" i="3"/>
  <c r="T233" i="3" l="1"/>
  <c r="D233" i="3" s="1"/>
  <c r="AG233" i="3" l="1"/>
  <c r="AH233" i="3"/>
  <c r="E233" i="3"/>
  <c r="H233" i="3" s="1"/>
  <c r="K233" i="3" s="1"/>
  <c r="AE233" i="3" s="1"/>
  <c r="G233" i="3"/>
  <c r="F233" i="3" l="1"/>
  <c r="I233" i="3"/>
  <c r="J233" i="3"/>
  <c r="AD233" i="3" s="1"/>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P238" i="3"/>
  <c r="Q238" i="3" s="1"/>
  <c r="R238" i="3" s="1"/>
  <c r="S238" i="3" s="1"/>
  <c r="Z238" i="3"/>
  <c r="AC238" i="3"/>
  <c r="AA238" i="3"/>
  <c r="L237" i="3" l="1"/>
  <c r="U237" i="3" s="1"/>
  <c r="AD237" i="3"/>
  <c r="T238" i="3"/>
  <c r="Y236" i="3" l="1"/>
  <c r="AG238" i="3"/>
  <c r="AH238" i="3"/>
  <c r="E238" i="3"/>
  <c r="H238" i="3" s="1"/>
  <c r="K238" i="3" s="1"/>
  <c r="AE238" i="3" s="1"/>
  <c r="D238" i="3"/>
  <c r="F238" i="3" l="1"/>
  <c r="G238" i="3"/>
  <c r="M238" i="3" s="1"/>
  <c r="N238" i="3" s="1"/>
  <c r="V238" i="3"/>
  <c r="A239" i="3"/>
  <c r="B239" i="3" s="1"/>
  <c r="I238" i="3" l="1"/>
  <c r="W238" i="3" s="1"/>
  <c r="J238" i="3"/>
  <c r="AD239" i="3"/>
  <c r="P239" i="3"/>
  <c r="Q239" i="3" s="1"/>
  <c r="R239" i="3" s="1"/>
  <c r="S239" i="3" s="1"/>
  <c r="AC239" i="3"/>
  <c r="Z239" i="3"/>
  <c r="AA239" i="3"/>
  <c r="L238" i="3" l="1"/>
  <c r="U238" i="3" s="1"/>
  <c r="AD238" i="3"/>
  <c r="T239" i="3"/>
  <c r="Y237" i="3" l="1"/>
  <c r="D239" i="3"/>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C242" i="3"/>
  <c r="T242" i="3" l="1"/>
  <c r="D242" i="3" s="1"/>
  <c r="E242" i="3" l="1"/>
  <c r="H242" i="3" s="1"/>
  <c r="K242" i="3" s="1"/>
  <c r="AE242" i="3" s="1"/>
  <c r="G242" i="3"/>
  <c r="AH242" i="3"/>
  <c r="AG242" i="3"/>
  <c r="F242" i="3" l="1"/>
  <c r="I242" i="3"/>
  <c r="J242" i="3"/>
  <c r="AD242" i="3" s="1"/>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U246" i="3" l="1"/>
  <c r="Y245" i="3"/>
  <c r="T247" i="3"/>
  <c r="AG247" i="3" s="1"/>
  <c r="AH247" i="3" l="1"/>
  <c r="D247" i="3"/>
  <c r="E247" i="3"/>
  <c r="H247" i="3" s="1"/>
  <c r="K247" i="3" s="1"/>
  <c r="AE247" i="3" s="1"/>
  <c r="F247" i="3" l="1"/>
  <c r="G247" i="3"/>
  <c r="M247" i="3" s="1"/>
  <c r="N247" i="3" s="1"/>
  <c r="V247" i="3"/>
  <c r="A248" i="3"/>
  <c r="B248" i="3" s="1"/>
  <c r="I247" i="3" l="1"/>
  <c r="W247" i="3" s="1"/>
  <c r="J247" i="3"/>
  <c r="Z248" i="3"/>
  <c r="P248" i="3"/>
  <c r="Q248" i="3" s="1"/>
  <c r="R248" i="3" s="1"/>
  <c r="S248" i="3" s="1"/>
  <c r="AA248" i="3"/>
  <c r="AC248" i="3"/>
  <c r="L247" i="3" l="1"/>
  <c r="U247" i="3" s="1"/>
  <c r="AD247" i="3"/>
  <c r="T248" i="3"/>
  <c r="AG248" i="3" l="1"/>
  <c r="Y246" i="3"/>
  <c r="E248" i="3"/>
  <c r="H248" i="3" s="1"/>
  <c r="K248" i="3" s="1"/>
  <c r="AE248" i="3" s="1"/>
  <c r="AH248" i="3"/>
  <c r="D248" i="3"/>
  <c r="G248" i="3" s="1"/>
  <c r="F248" i="3" l="1"/>
  <c r="I248" i="3"/>
  <c r="J248" i="3"/>
  <c r="AD248" i="3" s="1"/>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AD252" i="3" s="1"/>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AD257" i="3" s="1"/>
  <c r="M257" i="3"/>
  <c r="N257" i="3" s="1"/>
  <c r="W257" i="3" l="1"/>
  <c r="L257" i="3"/>
  <c r="AC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AD258" i="3" s="1"/>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AD262" i="3" s="1"/>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T267" i="3" l="1"/>
  <c r="L266" i="3"/>
  <c r="AH267" i="3" l="1"/>
  <c r="AG267" i="3"/>
  <c r="U266" i="3"/>
  <c r="E267" i="3" s="1"/>
  <c r="H267" i="3" s="1"/>
  <c r="Y265" i="3"/>
  <c r="K267" i="3" l="1"/>
  <c r="AE267" i="3" s="1"/>
  <c r="D267" i="3"/>
  <c r="V267" i="3" l="1"/>
  <c r="A268" i="3"/>
  <c r="B268" i="3" s="1"/>
  <c r="F267" i="3"/>
  <c r="G267" i="3"/>
  <c r="I267" i="3" l="1"/>
  <c r="W267" i="3" s="1"/>
  <c r="J267" i="3"/>
  <c r="AD267" i="3" s="1"/>
  <c r="M267" i="3"/>
  <c r="N267" i="3" s="1"/>
  <c r="AC268" i="3"/>
  <c r="P268" i="3"/>
  <c r="Q268" i="3" s="1"/>
  <c r="R268" i="3" s="1"/>
  <c r="S268" i="3" s="1"/>
  <c r="Z268" i="3"/>
  <c r="AA268" i="3"/>
  <c r="T268" i="3" l="1"/>
  <c r="L267" i="3"/>
  <c r="U267" i="3" l="1"/>
  <c r="E268" i="3" s="1"/>
  <c r="H268" i="3" s="1"/>
  <c r="AH268" i="3"/>
  <c r="AG268" i="3"/>
  <c r="Y266" i="3"/>
  <c r="K268" i="3" l="1"/>
  <c r="AE268" i="3" s="1"/>
  <c r="D268" i="3"/>
  <c r="V268" i="3" l="1"/>
  <c r="A269" i="3"/>
  <c r="B269" i="3" s="1"/>
  <c r="F268" i="3"/>
  <c r="G268" i="3"/>
  <c r="I268" i="3" l="1"/>
  <c r="W268" i="3" s="1"/>
  <c r="J268" i="3"/>
  <c r="AD268" i="3" s="1"/>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Z272" i="3"/>
  <c r="AA272" i="3"/>
  <c r="P272" i="3"/>
  <c r="Q272" i="3" s="1"/>
  <c r="R272" i="3" s="1"/>
  <c r="S272" i="3" s="1"/>
  <c r="AC272" i="3"/>
  <c r="T272" i="3" l="1"/>
  <c r="U271" i="3"/>
  <c r="Y270" i="3"/>
  <c r="D272" i="3" l="1"/>
  <c r="G272" i="3" s="1"/>
  <c r="E272" i="3"/>
  <c r="H272" i="3" s="1"/>
  <c r="K272" i="3" s="1"/>
  <c r="AE272" i="3" s="1"/>
  <c r="AG272" i="3"/>
  <c r="AH272" i="3"/>
  <c r="F272" i="3" l="1"/>
  <c r="I272" i="3"/>
  <c r="J272" i="3"/>
  <c r="AD272" i="3" s="1"/>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A277" i="3"/>
  <c r="U276" i="3" l="1"/>
  <c r="Y275" i="3"/>
  <c r="T277" i="3"/>
  <c r="AG277" i="3" s="1"/>
  <c r="D277" i="3" l="1"/>
  <c r="G277" i="3" s="1"/>
  <c r="E277" i="3"/>
  <c r="H277" i="3" s="1"/>
  <c r="K277" i="3" s="1"/>
  <c r="AE277" i="3" s="1"/>
  <c r="AH277" i="3"/>
  <c r="F277" i="3" l="1"/>
  <c r="V277" i="3"/>
  <c r="A278" i="3"/>
  <c r="B278" i="3" s="1"/>
  <c r="I277" i="3"/>
  <c r="J277" i="3"/>
  <c r="AD277" i="3" s="1"/>
  <c r="M277" i="3"/>
  <c r="N277" i="3" s="1"/>
  <c r="W277" i="3" l="1"/>
  <c r="L277"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AD278" i="3" s="1"/>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P282" i="3"/>
  <c r="Q282" i="3" s="1"/>
  <c r="R282" i="3" s="1"/>
  <c r="S282" i="3" s="1"/>
  <c r="AA282" i="3"/>
  <c r="U281" i="3" l="1"/>
  <c r="Y280" i="3"/>
  <c r="T282" i="3"/>
  <c r="D282" i="3" l="1"/>
  <c r="G282" i="3" s="1"/>
  <c r="E282" i="3"/>
  <c r="H282" i="3" s="1"/>
  <c r="AH282" i="3"/>
  <c r="AG282" i="3"/>
  <c r="F282" i="3" l="1"/>
  <c r="I282" i="3"/>
  <c r="J282" i="3"/>
  <c r="AD282" i="3" s="1"/>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C287" i="3"/>
  <c r="T287" i="3" l="1"/>
  <c r="D287" i="3" s="1"/>
  <c r="G287" i="3" l="1"/>
  <c r="AH287" i="3"/>
  <c r="AG287" i="3"/>
  <c r="E287" i="3"/>
  <c r="H287" i="3" s="1"/>
  <c r="F287" i="3" l="1"/>
  <c r="K287" i="3"/>
  <c r="AE287" i="3" s="1"/>
  <c r="I287" i="3"/>
  <c r="J287" i="3"/>
  <c r="AD287" i="3" s="1"/>
  <c r="M287" i="3"/>
  <c r="N287" i="3" s="1"/>
  <c r="L287" i="3" l="1"/>
  <c r="V287" i="3"/>
  <c r="W287" i="3" s="1"/>
  <c r="A288" i="3"/>
  <c r="B288" i="3" s="1"/>
  <c r="U287" i="3" l="1"/>
  <c r="Y286" i="3"/>
  <c r="P288" i="3"/>
  <c r="Q288" i="3" s="1"/>
  <c r="R288" i="3" s="1"/>
  <c r="S288" i="3" s="1"/>
  <c r="AA288" i="3"/>
  <c r="AC288" i="3"/>
  <c r="Z288" i="3"/>
  <c r="T288" i="3" l="1"/>
  <c r="D288" i="3" s="1"/>
  <c r="AG288" i="3" l="1"/>
  <c r="AH288" i="3"/>
  <c r="E288" i="3"/>
  <c r="H288" i="3" s="1"/>
  <c r="K288" i="3" s="1"/>
  <c r="AE288" i="3" s="1"/>
  <c r="G288" i="3"/>
  <c r="F288" i="3" l="1"/>
  <c r="I288" i="3"/>
  <c r="J288" i="3"/>
  <c r="AD288" i="3" s="1"/>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AD292" i="3" s="1"/>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T297" i="3" l="1"/>
  <c r="E297" i="3" s="1"/>
  <c r="H297" i="3" s="1"/>
  <c r="D297" i="3" l="1"/>
  <c r="F297" i="3" s="1"/>
  <c r="AG297" i="3"/>
  <c r="K297" i="3"/>
  <c r="AE297" i="3" s="1"/>
  <c r="AH297" i="3"/>
  <c r="G297" i="3" l="1"/>
  <c r="M297" i="3" s="1"/>
  <c r="N297" i="3" s="1"/>
  <c r="V297" i="3"/>
  <c r="A298" i="3"/>
  <c r="B298" i="3" s="1"/>
  <c r="J297" i="3" l="1"/>
  <c r="I297" i="3"/>
  <c r="W297" i="3" s="1"/>
  <c r="Z298" i="3"/>
  <c r="P298" i="3"/>
  <c r="Q298" i="3" s="1"/>
  <c r="R298" i="3" s="1"/>
  <c r="S298" i="3" s="1"/>
  <c r="AA298" i="3"/>
  <c r="AC298" i="3"/>
  <c r="L297" i="3" l="1"/>
  <c r="U297" i="3" s="1"/>
  <c r="AD297" i="3"/>
  <c r="T298" i="3"/>
  <c r="Y296" i="3" l="1"/>
  <c r="E298" i="3"/>
  <c r="H298" i="3" s="1"/>
  <c r="K298" i="3" s="1"/>
  <c r="AE298" i="3" s="1"/>
  <c r="AH298" i="3"/>
  <c r="D298" i="3"/>
  <c r="AG298" i="3"/>
  <c r="F298" i="3" l="1"/>
  <c r="G298" i="3"/>
  <c r="V298" i="3"/>
  <c r="A299" i="3"/>
  <c r="B299" i="3" s="1"/>
  <c r="I298" i="3" l="1"/>
  <c r="W298" i="3" s="1"/>
  <c r="J298" i="3"/>
  <c r="AD298" i="3" s="1"/>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AD303" i="3"/>
  <c r="Z303" i="3"/>
  <c r="P303" i="3"/>
  <c r="Q303" i="3" s="1"/>
  <c r="R303" i="3" s="1"/>
  <c r="S303" i="3" s="1"/>
  <c r="AA303" i="3"/>
  <c r="AC303" i="3"/>
  <c r="L302" i="3" l="1"/>
  <c r="Y301" i="3" s="1"/>
  <c r="AD302" i="3"/>
  <c r="T303" i="3"/>
  <c r="U302" i="3" l="1"/>
  <c r="E303" i="3" s="1"/>
  <c r="H303" i="3" s="1"/>
  <c r="K303" i="3" s="1"/>
  <c r="AE303" i="3" s="1"/>
  <c r="AH303" i="3"/>
  <c r="AG303" i="3"/>
  <c r="D303" i="3" l="1"/>
  <c r="G303" i="3" s="1"/>
  <c r="I303" i="3" s="1"/>
  <c r="V303" i="3"/>
  <c r="A304" i="3"/>
  <c r="B304" i="3" s="1"/>
  <c r="M303" i="3" l="1"/>
  <c r="N303" i="3" s="1"/>
  <c r="J303" i="3"/>
  <c r="L303" i="3" s="1"/>
  <c r="F303" i="3"/>
  <c r="W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T307" i="3" l="1"/>
  <c r="AH307" i="3" s="1"/>
  <c r="U306" i="3"/>
  <c r="Y305" i="3"/>
  <c r="D307" i="3" l="1"/>
  <c r="E307" i="3"/>
  <c r="H307" i="3" s="1"/>
  <c r="AG307" i="3"/>
  <c r="F307" i="3" l="1"/>
  <c r="G307" i="3"/>
  <c r="K307" i="3"/>
  <c r="AE307" i="3" s="1"/>
  <c r="I307" i="3" l="1"/>
  <c r="J307" i="3"/>
  <c r="AD307" i="3" s="1"/>
  <c r="M307" i="3"/>
  <c r="N307" i="3" s="1"/>
  <c r="V307" i="3"/>
  <c r="A308" i="3"/>
  <c r="B308" i="3" s="1"/>
  <c r="L307" i="3" l="1"/>
  <c r="Z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AD308" i="3" s="1"/>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AD312" i="3" s="1"/>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C317" i="3"/>
  <c r="T317" i="3" l="1"/>
  <c r="AG317" i="3" s="1"/>
  <c r="U316" i="3"/>
  <c r="Y315" i="3"/>
  <c r="E317" i="3" l="1"/>
  <c r="H317" i="3" s="1"/>
  <c r="K317" i="3" s="1"/>
  <c r="AE317" i="3" s="1"/>
  <c r="D317" i="3"/>
  <c r="AH317" i="3"/>
  <c r="V317" i="3" l="1"/>
  <c r="A318" i="3"/>
  <c r="B318" i="3" s="1"/>
  <c r="F317" i="3"/>
  <c r="G317" i="3"/>
  <c r="I317" i="3" l="1"/>
  <c r="W317" i="3" s="1"/>
  <c r="J317" i="3"/>
  <c r="AD317" i="3" s="1"/>
  <c r="M317" i="3"/>
  <c r="N317" i="3" s="1"/>
  <c r="AA318" i="3"/>
  <c r="P318" i="3"/>
  <c r="Q318" i="3" s="1"/>
  <c r="R318" i="3" s="1"/>
  <c r="S318" i="3" s="1"/>
  <c r="Z318" i="3"/>
  <c r="AC318" i="3"/>
  <c r="T318" i="3" l="1"/>
  <c r="L317" i="3"/>
  <c r="AH318" i="3" l="1"/>
  <c r="AG318" i="3"/>
  <c r="U317" i="3"/>
  <c r="E318" i="3" s="1"/>
  <c r="H318" i="3" s="1"/>
  <c r="Y316" i="3"/>
  <c r="K318" i="3" l="1"/>
  <c r="AE318" i="3" s="1"/>
  <c r="D318" i="3"/>
  <c r="V318" i="3" l="1"/>
  <c r="A319" i="3"/>
  <c r="B319" i="3" s="1"/>
  <c r="F318" i="3"/>
  <c r="G318" i="3"/>
  <c r="I318" i="3" l="1"/>
  <c r="W318" i="3" s="1"/>
  <c r="J318" i="3"/>
  <c r="AD318" i="3" s="1"/>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A322" i="3"/>
  <c r="T322" i="3" l="1"/>
  <c r="AH322" i="3" s="1"/>
  <c r="E322" i="3" l="1"/>
  <c r="H322" i="3" s="1"/>
  <c r="K322" i="3" s="1"/>
  <c r="AE322" i="3" s="1"/>
  <c r="AG322" i="3"/>
  <c r="D322" i="3"/>
  <c r="V322" i="3" l="1"/>
  <c r="A323" i="3"/>
  <c r="B323" i="3" s="1"/>
  <c r="F322" i="3"/>
  <c r="G322" i="3"/>
  <c r="I322" i="3" l="1"/>
  <c r="W322" i="3" s="1"/>
  <c r="J322" i="3"/>
  <c r="AD322" i="3" s="1"/>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A367" i="3"/>
  <c r="T367" i="3" l="1"/>
  <c r="AG367" i="3" s="1"/>
  <c r="U366" i="3"/>
  <c r="Y365" i="3"/>
  <c r="D367" i="3" l="1"/>
  <c r="AH367" i="3"/>
  <c r="E367" i="3"/>
  <c r="H367" i="3" s="1"/>
  <c r="F367" i="3" l="1"/>
  <c r="G367" i="3"/>
  <c r="K367" i="3"/>
  <c r="AE367" i="3" s="1"/>
  <c r="I367" i="3" l="1"/>
  <c r="J367" i="3"/>
  <c r="AD367" i="3" s="1"/>
  <c r="M367" i="3"/>
  <c r="N367" i="3" s="1"/>
  <c r="V367" i="3"/>
  <c r="A368" i="3"/>
  <c r="B368" i="3" s="1"/>
  <c r="L367" i="3" l="1"/>
  <c r="W367" i="3"/>
  <c r="Z368" i="3"/>
  <c r="P368" i="3"/>
  <c r="Q368" i="3" s="1"/>
  <c r="R368" i="3" s="1"/>
  <c r="S368" i="3" s="1"/>
  <c r="AC368" i="3"/>
  <c r="AA368" i="3"/>
  <c r="T368" i="3" l="1"/>
  <c r="AH368" i="3" s="1"/>
  <c r="U367" i="3"/>
  <c r="Y366" i="3"/>
  <c r="E368" i="3" l="1"/>
  <c r="H368" i="3" s="1"/>
  <c r="K368" i="3" s="1"/>
  <c r="AE368" i="3" s="1"/>
  <c r="D368" i="3"/>
  <c r="AG368" i="3"/>
  <c r="V368" i="3" l="1"/>
  <c r="A369" i="3"/>
  <c r="B369" i="3" s="1"/>
  <c r="F368" i="3"/>
  <c r="G368" i="3"/>
  <c r="I368" i="3" l="1"/>
  <c r="W368" i="3" s="1"/>
  <c r="J368" i="3"/>
  <c r="AD368" i="3" s="1"/>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L371" i="3" l="1"/>
  <c r="T372" i="3"/>
  <c r="U371" i="3" l="1"/>
  <c r="E372" i="3" s="1"/>
  <c r="H372" i="3" s="1"/>
  <c r="AG372" i="3"/>
  <c r="AH372" i="3"/>
  <c r="Y370" i="3"/>
  <c r="D372" i="3" l="1"/>
  <c r="F372" i="3" s="1"/>
  <c r="K372" i="3"/>
  <c r="AE372" i="3" s="1"/>
  <c r="G372" i="3" l="1"/>
  <c r="M372" i="3" s="1"/>
  <c r="N372" i="3" s="1"/>
  <c r="V372" i="3"/>
  <c r="A373" i="3"/>
  <c r="B373" i="3" s="1"/>
  <c r="J372" i="3" l="1"/>
  <c r="I372" i="3"/>
  <c r="W372" i="3" s="1"/>
  <c r="Z373" i="3"/>
  <c r="AC373" i="3"/>
  <c r="P373" i="3"/>
  <c r="Q373" i="3" s="1"/>
  <c r="R373" i="3" s="1"/>
  <c r="S373" i="3" s="1"/>
  <c r="AA373" i="3"/>
  <c r="L372" i="3" l="1"/>
  <c r="U372" i="3" s="1"/>
  <c r="AD372" i="3"/>
  <c r="T373" i="3"/>
  <c r="Y371" i="3" l="1"/>
  <c r="AH373" i="3"/>
  <c r="D373" i="3"/>
  <c r="G373" i="3" s="1"/>
  <c r="E373" i="3"/>
  <c r="H373" i="3" s="1"/>
  <c r="AG373" i="3"/>
  <c r="F373" i="3" l="1"/>
  <c r="I373" i="3"/>
  <c r="J373" i="3"/>
  <c r="AD373" i="3" s="1"/>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W375" i="3"/>
  <c r="AA376" i="3"/>
  <c r="P376" i="3"/>
  <c r="Q376" i="3" s="1"/>
  <c r="R376" i="3" s="1"/>
  <c r="S376" i="3" s="1"/>
  <c r="AC376" i="3"/>
  <c r="Z376" i="3"/>
  <c r="L375" i="3" l="1"/>
  <c r="U375" i="3" s="1"/>
  <c r="AD375" i="3"/>
  <c r="T376" i="3"/>
  <c r="Y374" i="3" l="1"/>
  <c r="D376" i="3"/>
  <c r="G376" i="3" s="1"/>
  <c r="AG376" i="3"/>
  <c r="AH376" i="3"/>
  <c r="E376" i="3"/>
  <c r="H376" i="3" s="1"/>
  <c r="F376" i="3" l="1"/>
  <c r="I376" i="3"/>
  <c r="J376" i="3"/>
  <c r="AD376" i="3" s="1"/>
  <c r="M376" i="3"/>
  <c r="N376" i="3" s="1"/>
  <c r="K376" i="3"/>
  <c r="AE376" i="3" s="1"/>
  <c r="V376" i="3" l="1"/>
  <c r="W376" i="3" s="1"/>
  <c r="A377" i="3"/>
  <c r="B377" i="3" s="1"/>
  <c r="L376" i="3"/>
  <c r="AC377" i="3" l="1"/>
  <c r="AA377" i="3"/>
  <c r="P377" i="3"/>
  <c r="Q377" i="3" s="1"/>
  <c r="R377" i="3" s="1"/>
  <c r="S377" i="3" s="1"/>
  <c r="Z377" i="3"/>
  <c r="U376" i="3"/>
  <c r="Y375" i="3"/>
  <c r="T377" i="3" l="1"/>
  <c r="AH377" i="3" s="1"/>
  <c r="E377" i="3" l="1"/>
  <c r="H377" i="3" s="1"/>
  <c r="K377" i="3" s="1"/>
  <c r="AE377" i="3" s="1"/>
  <c r="D377" i="3"/>
  <c r="AG377" i="3"/>
  <c r="F377" i="3" l="1"/>
  <c r="G377" i="3"/>
  <c r="M377" i="3" s="1"/>
  <c r="N377" i="3" s="1"/>
  <c r="V377" i="3"/>
  <c r="A378" i="3"/>
  <c r="B378" i="3" s="1"/>
  <c r="I377" i="3" l="1"/>
  <c r="W377" i="3" s="1"/>
  <c r="J377" i="3"/>
  <c r="Z378" i="3"/>
  <c r="AC378" i="3"/>
  <c r="P378" i="3"/>
  <c r="Q378" i="3" s="1"/>
  <c r="R378" i="3" s="1"/>
  <c r="S378" i="3" s="1"/>
  <c r="AA378" i="3"/>
  <c r="L377" i="3" l="1"/>
  <c r="U377" i="3" s="1"/>
  <c r="AD377" i="3"/>
  <c r="T378" i="3"/>
  <c r="Y376" i="3" l="1"/>
  <c r="D378" i="3"/>
  <c r="G378" i="3" s="1"/>
  <c r="AG378" i="3"/>
  <c r="E378" i="3"/>
  <c r="H378" i="3" s="1"/>
  <c r="K378" i="3" s="1"/>
  <c r="AE378" i="3" s="1"/>
  <c r="AH378" i="3"/>
  <c r="F378" i="3" l="1"/>
  <c r="V378" i="3"/>
  <c r="A379" i="3"/>
  <c r="B379" i="3" s="1"/>
  <c r="I378" i="3"/>
  <c r="J378" i="3"/>
  <c r="AD378" i="3" s="1"/>
  <c r="M378" i="3"/>
  <c r="N378" i="3" s="1"/>
  <c r="W378" i="3" l="1"/>
  <c r="L378" i="3"/>
  <c r="Z379" i="3"/>
  <c r="AA379" i="3"/>
  <c r="P379" i="3"/>
  <c r="Q379" i="3" s="1"/>
  <c r="R379" i="3" s="1"/>
  <c r="S379" i="3" s="1"/>
  <c r="AC379" i="3"/>
  <c r="U378" i="3" l="1"/>
  <c r="Y377" i="3"/>
  <c r="T379" i="3"/>
  <c r="AH379" i="3" s="1"/>
  <c r="E379" i="3" l="1"/>
  <c r="H379" i="3" s="1"/>
  <c r="K379" i="3" s="1"/>
  <c r="AE379" i="3" s="1"/>
  <c r="D379" i="3"/>
  <c r="G379" i="3" s="1"/>
  <c r="AG379" i="3"/>
  <c r="F379" i="3" l="1"/>
  <c r="I379" i="3"/>
  <c r="J379" i="3"/>
  <c r="AD379" i="3" s="1"/>
  <c r="M379" i="3"/>
  <c r="N379" i="3" s="1"/>
  <c r="V379" i="3"/>
  <c r="A380" i="3"/>
  <c r="B380" i="3" s="1"/>
  <c r="W379" i="3" l="1"/>
  <c r="L379" i="3"/>
  <c r="Z380" i="3"/>
  <c r="P380" i="3"/>
  <c r="Q380" i="3" s="1"/>
  <c r="R380" i="3" s="1"/>
  <c r="S380" i="3" s="1"/>
  <c r="AC380" i="3"/>
  <c r="AA380" i="3"/>
  <c r="T380" i="3" l="1"/>
  <c r="AH380" i="3" s="1"/>
  <c r="U379" i="3"/>
  <c r="Y378" i="3"/>
  <c r="AG380" i="3" l="1"/>
  <c r="E380" i="3"/>
  <c r="H380" i="3" s="1"/>
  <c r="K380" i="3" s="1"/>
  <c r="AE380" i="3" s="1"/>
  <c r="D380" i="3"/>
  <c r="V380" i="3" l="1"/>
  <c r="A381" i="3"/>
  <c r="B381" i="3" s="1"/>
  <c r="F380" i="3"/>
  <c r="G380" i="3"/>
  <c r="I380" i="3" l="1"/>
  <c r="W380" i="3" s="1"/>
  <c r="J380" i="3"/>
  <c r="AD380" i="3" s="1"/>
  <c r="M380" i="3"/>
  <c r="N380" i="3" s="1"/>
  <c r="Z381" i="3"/>
  <c r="AA381" i="3"/>
  <c r="AC381" i="3"/>
  <c r="P381" i="3"/>
  <c r="Q381" i="3" s="1"/>
  <c r="R381" i="3" s="1"/>
  <c r="S381" i="3" s="1"/>
  <c r="T381" i="3" l="1"/>
  <c r="L380" i="3"/>
  <c r="U380" i="3" l="1"/>
  <c r="E381" i="3" s="1"/>
  <c r="H381" i="3" s="1"/>
  <c r="AH381" i="3"/>
  <c r="AG381" i="3"/>
  <c r="Y379" i="3"/>
  <c r="K381" i="3" l="1"/>
  <c r="AE381" i="3" s="1"/>
  <c r="D381" i="3"/>
  <c r="V381" i="3" l="1"/>
  <c r="A382" i="3"/>
  <c r="B382" i="3" s="1"/>
  <c r="F381" i="3"/>
  <c r="G381" i="3"/>
  <c r="I381" i="3" l="1"/>
  <c r="W381" i="3" s="1"/>
  <c r="J381" i="3"/>
  <c r="AD381" i="3" s="1"/>
  <c r="M381" i="3"/>
  <c r="N381" i="3" s="1"/>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AD382" i="3" s="1"/>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A387" i="3"/>
  <c r="P387" i="3"/>
  <c r="Q387" i="3" s="1"/>
  <c r="R387" i="3" s="1"/>
  <c r="S387" i="3" s="1"/>
  <c r="AC387" i="3"/>
  <c r="Z387" i="3"/>
  <c r="U386" i="3" l="1"/>
  <c r="Y385" i="3"/>
  <c r="T387" i="3"/>
  <c r="AG387" i="3" s="1"/>
  <c r="AH387" i="3" l="1"/>
  <c r="D387" i="3"/>
  <c r="G387" i="3" s="1"/>
  <c r="E387" i="3"/>
  <c r="H387" i="3" s="1"/>
  <c r="F387" i="3" l="1"/>
  <c r="I387" i="3"/>
  <c r="J387" i="3"/>
  <c r="AD387" i="3" s="1"/>
  <c r="M387" i="3"/>
  <c r="N387" i="3" s="1"/>
  <c r="K387" i="3"/>
  <c r="AE387" i="3" s="1"/>
  <c r="V387" i="3" l="1"/>
  <c r="W387" i="3" s="1"/>
  <c r="A388" i="3"/>
  <c r="B388" i="3" s="1"/>
  <c r="L387" i="3"/>
  <c r="U387" i="3" l="1"/>
  <c r="Y386" i="3"/>
  <c r="AA388" i="3"/>
  <c r="Z388" i="3"/>
  <c r="P388" i="3"/>
  <c r="Q388" i="3" s="1"/>
  <c r="R388" i="3" s="1"/>
  <c r="S388" i="3" s="1"/>
  <c r="AC388" i="3"/>
  <c r="T388" i="3" l="1"/>
  <c r="E388" i="3" s="1"/>
  <c r="H388" i="3" s="1"/>
  <c r="K388" i="3" l="1"/>
  <c r="AE388" i="3" s="1"/>
  <c r="D388" i="3"/>
  <c r="AG388" i="3"/>
  <c r="AH388" i="3"/>
  <c r="V388" i="3" l="1"/>
  <c r="A389" i="3"/>
  <c r="B389" i="3" s="1"/>
  <c r="F388" i="3"/>
  <c r="G388" i="3"/>
  <c r="I388" i="3" l="1"/>
  <c r="W388" i="3" s="1"/>
  <c r="J388" i="3"/>
  <c r="AD388" i="3" s="1"/>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Z392" i="3"/>
  <c r="P392" i="3"/>
  <c r="Q392" i="3" s="1"/>
  <c r="R392" i="3" s="1"/>
  <c r="S392" i="3" s="1"/>
  <c r="AA392" i="3"/>
  <c r="AC392" i="3"/>
  <c r="T392" i="3" l="1"/>
  <c r="L391" i="3"/>
  <c r="U391" i="3" l="1"/>
  <c r="D392" i="3" s="1"/>
  <c r="AH392" i="3"/>
  <c r="AG392" i="3"/>
  <c r="Y390" i="3"/>
  <c r="G392" i="3" l="1"/>
  <c r="E392" i="3"/>
  <c r="H392" i="3" s="1"/>
  <c r="F392" i="3" l="1"/>
  <c r="I392" i="3"/>
  <c r="J392" i="3"/>
  <c r="AD392" i="3" s="1"/>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AC398" i="3"/>
  <c r="AA398" i="3"/>
  <c r="P398" i="3"/>
  <c r="Q398" i="3" s="1"/>
  <c r="R398" i="3" s="1"/>
  <c r="S398" i="3" s="1"/>
  <c r="Z398" i="3"/>
  <c r="L397" i="3" l="1"/>
  <c r="U397" i="3" s="1"/>
  <c r="AD397" i="3"/>
  <c r="T398" i="3"/>
  <c r="Y396" i="3" l="1"/>
  <c r="E398" i="3"/>
  <c r="H398" i="3" s="1"/>
  <c r="K398" i="3" s="1"/>
  <c r="AE398" i="3" s="1"/>
  <c r="D398" i="3"/>
  <c r="G398" i="3" s="1"/>
  <c r="AH398" i="3"/>
  <c r="AG398" i="3"/>
  <c r="F398" i="3" l="1"/>
  <c r="V398" i="3"/>
  <c r="A399" i="3"/>
  <c r="B399" i="3" s="1"/>
  <c r="I398" i="3"/>
  <c r="J398" i="3"/>
  <c r="AD398" i="3" s="1"/>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P402" i="3"/>
  <c r="Q402" i="3" s="1"/>
  <c r="R402" i="3" s="1"/>
  <c r="S402" i="3" s="1"/>
  <c r="U401" i="3" l="1"/>
  <c r="Y400" i="3"/>
  <c r="T402" i="3"/>
  <c r="AG402" i="3" s="1"/>
  <c r="AH402" i="3" l="1"/>
  <c r="E402" i="3"/>
  <c r="H402" i="3" s="1"/>
  <c r="K402" i="3" s="1"/>
  <c r="AE402" i="3" s="1"/>
  <c r="D402" i="3"/>
  <c r="G402" i="3" s="1"/>
  <c r="F402" i="3" l="1"/>
  <c r="I402" i="3"/>
  <c r="J402" i="3"/>
  <c r="AD402" i="3" s="1"/>
  <c r="M402" i="3"/>
  <c r="N402" i="3" s="1"/>
  <c r="V402" i="3"/>
  <c r="A403" i="3"/>
  <c r="B403" i="3" s="1"/>
  <c r="W402" i="3" l="1"/>
  <c r="L402" i="3"/>
  <c r="AC403" i="3"/>
  <c r="AA403" i="3"/>
  <c r="P403" i="3"/>
  <c r="Q403" i="3" s="1"/>
  <c r="R403" i="3" s="1"/>
  <c r="S403" i="3" s="1"/>
  <c r="Z403" i="3"/>
  <c r="T403" i="3" l="1"/>
  <c r="AH403" i="3" s="1"/>
  <c r="U402" i="3"/>
  <c r="Y401" i="3"/>
  <c r="AG403" i="3" l="1"/>
  <c r="D403" i="3"/>
  <c r="E403" i="3"/>
  <c r="H403" i="3" s="1"/>
  <c r="F403" i="3" l="1"/>
  <c r="G403" i="3"/>
  <c r="K403" i="3"/>
  <c r="AE403" i="3" s="1"/>
  <c r="V403" i="3" l="1"/>
  <c r="A404" i="3"/>
  <c r="B404" i="3" s="1"/>
  <c r="I403" i="3"/>
  <c r="J403" i="3"/>
  <c r="AD403" i="3" s="1"/>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A405" i="3"/>
  <c r="U404" i="3" l="1"/>
  <c r="Y403" i="3"/>
  <c r="T405" i="3"/>
  <c r="E405" i="3" l="1"/>
  <c r="H405" i="3" s="1"/>
  <c r="K405" i="3" s="1"/>
  <c r="AE405" i="3" s="1"/>
  <c r="AH405" i="3"/>
  <c r="D405" i="3"/>
  <c r="AG405" i="3"/>
  <c r="F405" i="3" l="1"/>
  <c r="G405" i="3"/>
  <c r="V405" i="3"/>
  <c r="A406" i="3"/>
  <c r="B406" i="3" s="1"/>
  <c r="AA406" i="3" l="1"/>
  <c r="AC406" i="3"/>
  <c r="Z406" i="3"/>
  <c r="P406" i="3"/>
  <c r="Q406" i="3" s="1"/>
  <c r="R406" i="3" s="1"/>
  <c r="S406" i="3" s="1"/>
  <c r="I405" i="3"/>
  <c r="W405" i="3" s="1"/>
  <c r="J405" i="3"/>
  <c r="AD405" i="3" s="1"/>
  <c r="M405" i="3"/>
  <c r="N405" i="3" s="1"/>
  <c r="T406" i="3" l="1"/>
  <c r="L405" i="3"/>
  <c r="U405" i="3" l="1"/>
  <c r="E406" i="3" s="1"/>
  <c r="H406" i="3" s="1"/>
  <c r="AH406" i="3"/>
  <c r="AG406" i="3"/>
  <c r="Y404" i="3"/>
  <c r="K406" i="3" l="1"/>
  <c r="AE406" i="3" s="1"/>
  <c r="D406" i="3"/>
  <c r="V406" i="3" l="1"/>
  <c r="A407" i="3"/>
  <c r="B407" i="3" s="1"/>
  <c r="F406" i="3"/>
  <c r="G406" i="3"/>
  <c r="I406" i="3" l="1"/>
  <c r="W406" i="3" s="1"/>
  <c r="J406" i="3"/>
  <c r="AD406" i="3" s="1"/>
  <c r="M406" i="3"/>
  <c r="N406" i="3" s="1"/>
  <c r="AC407" i="3"/>
  <c r="Z407" i="3"/>
  <c r="P407" i="3"/>
  <c r="Q407" i="3" s="1"/>
  <c r="R407" i="3" s="1"/>
  <c r="S407" i="3" s="1"/>
  <c r="AA407" i="3"/>
  <c r="L406" i="3" l="1"/>
  <c r="T407" i="3"/>
  <c r="U406" i="3" l="1"/>
  <c r="D407" i="3" s="1"/>
  <c r="AG407" i="3"/>
  <c r="AH407" i="3"/>
  <c r="Y405" i="3"/>
  <c r="G407" i="3" l="1"/>
  <c r="E407" i="3"/>
  <c r="H407" i="3" s="1"/>
  <c r="F407" i="3" l="1"/>
  <c r="I407" i="3"/>
  <c r="J407" i="3"/>
  <c r="AD407" i="3" s="1"/>
  <c r="M407" i="3"/>
  <c r="N407" i="3" s="1"/>
  <c r="K407" i="3"/>
  <c r="AE407" i="3" s="1"/>
  <c r="V407" i="3" l="1"/>
  <c r="W407" i="3" s="1"/>
  <c r="A408" i="3"/>
  <c r="B408" i="3" s="1"/>
  <c r="L407" i="3"/>
  <c r="U407" i="3" l="1"/>
  <c r="Y406" i="3"/>
  <c r="Z408" i="3"/>
  <c r="AC408" i="3"/>
  <c r="P408" i="3"/>
  <c r="Q408" i="3" s="1"/>
  <c r="R408" i="3" s="1"/>
  <c r="S408" i="3" s="1"/>
  <c r="AA408" i="3"/>
  <c r="T408" i="3" l="1"/>
  <c r="AH408" i="3" s="1"/>
  <c r="E408" i="3" l="1"/>
  <c r="H408" i="3" s="1"/>
  <c r="K408" i="3" s="1"/>
  <c r="AE408" i="3" s="1"/>
  <c r="D408" i="3"/>
  <c r="G408" i="3" s="1"/>
  <c r="AG408" i="3"/>
  <c r="F408" i="3" l="1"/>
  <c r="I408" i="3"/>
  <c r="J408" i="3"/>
  <c r="AD408" i="3" s="1"/>
  <c r="M408" i="3"/>
  <c r="N408" i="3" s="1"/>
  <c r="V408" i="3"/>
  <c r="A409" i="3"/>
  <c r="B409" i="3" s="1"/>
  <c r="W408" i="3" l="1"/>
  <c r="L408" i="3"/>
  <c r="AA409" i="3"/>
  <c r="AC409" i="3"/>
  <c r="P409" i="3"/>
  <c r="Q409" i="3" s="1"/>
  <c r="R409" i="3" s="1"/>
  <c r="S409" i="3" s="1"/>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Z410" i="3"/>
  <c r="I409" i="3"/>
  <c r="W409" i="3" s="1"/>
  <c r="J409" i="3"/>
  <c r="AD409" i="3" s="1"/>
  <c r="M409" i="3"/>
  <c r="N409" i="3" s="1"/>
  <c r="T410" i="3" l="1"/>
  <c r="L409" i="3"/>
  <c r="AG410" i="3" l="1"/>
  <c r="U409" i="3"/>
  <c r="D410" i="3" s="1"/>
  <c r="AH410" i="3"/>
  <c r="Y408" i="3"/>
  <c r="E410" i="3" l="1"/>
  <c r="H410" i="3" s="1"/>
  <c r="K410" i="3" s="1"/>
  <c r="AE410" i="3" s="1"/>
  <c r="G410" i="3"/>
  <c r="F410" i="3" l="1"/>
  <c r="I410" i="3"/>
  <c r="J410" i="3"/>
  <c r="AD410" i="3" s="1"/>
  <c r="M410" i="3"/>
  <c r="N410" i="3" s="1"/>
  <c r="V410" i="3"/>
  <c r="A411" i="3"/>
  <c r="B411" i="3" s="1"/>
  <c r="W410" i="3" l="1"/>
  <c r="L410" i="3"/>
  <c r="AC411" i="3"/>
  <c r="P411" i="3"/>
  <c r="Q411" i="3" s="1"/>
  <c r="R411" i="3" s="1"/>
  <c r="S411" i="3" s="1"/>
  <c r="AA411" i="3"/>
  <c r="Z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I411" i="3"/>
  <c r="W411" i="3" s="1"/>
  <c r="J411" i="3"/>
  <c r="AD411" i="3" s="1"/>
  <c r="M411" i="3"/>
  <c r="N411" i="3" s="1"/>
  <c r="T412" i="3" l="1"/>
  <c r="L411" i="3"/>
  <c r="U411" i="3" l="1"/>
  <c r="D412" i="3" s="1"/>
  <c r="AG412" i="3"/>
  <c r="AH412" i="3"/>
  <c r="Y410" i="3"/>
  <c r="G412" i="3" l="1"/>
  <c r="E412" i="3"/>
  <c r="H412" i="3" s="1"/>
  <c r="F412" i="3" l="1"/>
  <c r="I412" i="3"/>
  <c r="J412" i="3"/>
  <c r="AD412" i="3" s="1"/>
  <c r="M412" i="3"/>
  <c r="N412" i="3" s="1"/>
  <c r="K412" i="3"/>
  <c r="AE412" i="3" s="1"/>
  <c r="V412" i="3" l="1"/>
  <c r="W412" i="3" s="1"/>
  <c r="A413" i="3"/>
  <c r="B413" i="3" s="1"/>
  <c r="L412" i="3"/>
  <c r="U412" i="3" l="1"/>
  <c r="Y411" i="3"/>
  <c r="Z413" i="3"/>
  <c r="P413" i="3"/>
  <c r="Q413" i="3" s="1"/>
  <c r="R413" i="3" s="1"/>
  <c r="S413" i="3" s="1"/>
  <c r="AA413" i="3"/>
  <c r="AC413" i="3"/>
  <c r="T413" i="3" l="1"/>
  <c r="D413" i="3" s="1"/>
  <c r="E413" i="3" l="1"/>
  <c r="H413" i="3" s="1"/>
  <c r="K413" i="3" s="1"/>
  <c r="AE413" i="3" s="1"/>
  <c r="AH413" i="3"/>
  <c r="G413" i="3"/>
  <c r="AG413" i="3"/>
  <c r="F413" i="3" l="1"/>
  <c r="I413" i="3"/>
  <c r="J413" i="3"/>
  <c r="AD413" i="3" s="1"/>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U424" i="3" l="1"/>
  <c r="Y423" i="3"/>
  <c r="T425" i="3"/>
  <c r="E425" i="3" l="1"/>
  <c r="H425" i="3" s="1"/>
  <c r="K425" i="3" s="1"/>
  <c r="AE425" i="3" s="1"/>
  <c r="D425" i="3"/>
  <c r="G425" i="3" s="1"/>
  <c r="AH425" i="3"/>
  <c r="AG425" i="3"/>
  <c r="F425" i="3" l="1"/>
  <c r="I425" i="3"/>
  <c r="J425" i="3"/>
  <c r="AD425" i="3" s="1"/>
  <c r="M425" i="3"/>
  <c r="N425" i="3" s="1"/>
  <c r="V425" i="3"/>
  <c r="A426" i="3"/>
  <c r="B426" i="3" s="1"/>
  <c r="L425" i="3" l="1"/>
  <c r="W425" i="3"/>
  <c r="P426" i="3"/>
  <c r="Q426" i="3" s="1"/>
  <c r="R426" i="3" s="1"/>
  <c r="S426" i="3" s="1"/>
  <c r="AA426" i="3"/>
  <c r="Z426" i="3"/>
  <c r="AC426" i="3"/>
  <c r="U425" i="3" l="1"/>
  <c r="Y424" i="3"/>
  <c r="T426" i="3"/>
  <c r="AH426" i="3" s="1"/>
  <c r="E426" i="3" l="1"/>
  <c r="H426" i="3" s="1"/>
  <c r="D426" i="3"/>
  <c r="AG426" i="3"/>
  <c r="K426" i="3" l="1"/>
  <c r="AE426" i="3" s="1"/>
  <c r="F426" i="3"/>
  <c r="G426" i="3"/>
  <c r="V426" i="3" l="1"/>
  <c r="A427" i="3"/>
  <c r="B427" i="3" s="1"/>
  <c r="I426" i="3"/>
  <c r="J426" i="3"/>
  <c r="AD426" i="3" s="1"/>
  <c r="M426" i="3"/>
  <c r="N426" i="3" s="1"/>
  <c r="W426" i="3" l="1"/>
  <c r="L426" i="3"/>
  <c r="P427" i="3"/>
  <c r="Q427" i="3" s="1"/>
  <c r="R427" i="3" s="1"/>
  <c r="S427" i="3" s="1"/>
  <c r="AC427" i="3"/>
  <c r="Z427" i="3"/>
  <c r="AA427" i="3"/>
  <c r="U426" i="3" l="1"/>
  <c r="Y425" i="3"/>
  <c r="T427" i="3"/>
  <c r="AG427" i="3" s="1"/>
  <c r="D427" i="3" l="1"/>
  <c r="G427" i="3" s="1"/>
  <c r="E427" i="3"/>
  <c r="H427" i="3" s="1"/>
  <c r="K427" i="3" s="1"/>
  <c r="AE427" i="3" s="1"/>
  <c r="AH427" i="3"/>
  <c r="F427" i="3" l="1"/>
  <c r="I427" i="3"/>
  <c r="J427" i="3"/>
  <c r="AD427" i="3" s="1"/>
  <c r="M427" i="3"/>
  <c r="N427" i="3" s="1"/>
  <c r="V427" i="3"/>
  <c r="A428" i="3"/>
  <c r="B428" i="3" s="1"/>
  <c r="W427" i="3" l="1"/>
  <c r="L427" i="3"/>
  <c r="P428" i="3"/>
  <c r="Q428" i="3" s="1"/>
  <c r="R428" i="3" s="1"/>
  <c r="S428" i="3" s="1"/>
  <c r="AC428" i="3"/>
  <c r="Z428" i="3"/>
  <c r="AA428" i="3"/>
  <c r="U427" i="3" l="1"/>
  <c r="Y426" i="3"/>
  <c r="T428" i="3"/>
  <c r="AG428" i="3" s="1"/>
  <c r="E428" i="3" l="1"/>
  <c r="H428" i="3" s="1"/>
  <c r="AH428" i="3"/>
  <c r="D428" i="3"/>
  <c r="K428" i="3" l="1"/>
  <c r="AE428" i="3" s="1"/>
  <c r="F428" i="3"/>
  <c r="G428" i="3"/>
  <c r="I428" i="3" l="1"/>
  <c r="J428" i="3"/>
  <c r="AD428" i="3" s="1"/>
  <c r="M428" i="3"/>
  <c r="N428" i="3" s="1"/>
  <c r="V428" i="3"/>
  <c r="A429" i="3"/>
  <c r="B429" i="3" s="1"/>
  <c r="W428" i="3" l="1"/>
  <c r="AD429" i="3"/>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M429" i="3"/>
  <c r="N429" i="3" s="1"/>
  <c r="V429" i="3"/>
  <c r="A430" i="3"/>
  <c r="B430" i="3" s="1"/>
  <c r="L429" i="3" l="1"/>
  <c r="W429" i="3"/>
  <c r="AA430" i="3"/>
  <c r="Z430" i="3"/>
  <c r="P430" i="3"/>
  <c r="Q430" i="3" s="1"/>
  <c r="R430" i="3" s="1"/>
  <c r="S430" i="3" s="1"/>
  <c r="AC430" i="3"/>
  <c r="AD430" i="3"/>
  <c r="U429" i="3" l="1"/>
  <c r="Y428" i="3"/>
  <c r="T430" i="3"/>
  <c r="D430" i="3" l="1"/>
  <c r="G430" i="3" s="1"/>
  <c r="AH430" i="3"/>
  <c r="E430" i="3"/>
  <c r="H430" i="3" s="1"/>
  <c r="AG430" i="3"/>
  <c r="F430" i="3" l="1"/>
  <c r="I430" i="3"/>
  <c r="J430" i="3"/>
  <c r="M430" i="3"/>
  <c r="N430" i="3" s="1"/>
  <c r="K430" i="3"/>
  <c r="AE430" i="3" s="1"/>
  <c r="V430" i="3" l="1"/>
  <c r="W430" i="3" s="1"/>
  <c r="A431" i="3"/>
  <c r="B431" i="3" s="1"/>
  <c r="L430" i="3"/>
  <c r="U430" i="3" l="1"/>
  <c r="Y429" i="3"/>
  <c r="AC431" i="3"/>
  <c r="Z431" i="3"/>
  <c r="P431" i="3"/>
  <c r="Q431" i="3" s="1"/>
  <c r="R431" i="3" s="1"/>
  <c r="S431" i="3" s="1"/>
  <c r="AA431" i="3"/>
  <c r="AD431" i="3"/>
  <c r="T431" i="3" l="1"/>
  <c r="AH431" i="3" s="1"/>
  <c r="E431" i="3" l="1"/>
  <c r="H431" i="3" s="1"/>
  <c r="AG431" i="3"/>
  <c r="D431" i="3"/>
  <c r="K431" i="3" l="1"/>
  <c r="AE431" i="3" s="1"/>
  <c r="F431" i="3"/>
  <c r="G431" i="3"/>
  <c r="V431" i="3" l="1"/>
  <c r="A432" i="3"/>
  <c r="B432" i="3" s="1"/>
  <c r="I431" i="3"/>
  <c r="J431" i="3"/>
  <c r="M431" i="3"/>
  <c r="N431" i="3" s="1"/>
  <c r="W431" i="3" l="1"/>
  <c r="L431" i="3"/>
  <c r="AA432" i="3"/>
  <c r="P432" i="3"/>
  <c r="Q432" i="3" s="1"/>
  <c r="R432" i="3" s="1"/>
  <c r="S432" i="3" s="1"/>
  <c r="AC432" i="3"/>
  <c r="Z432" i="3"/>
  <c r="T432" i="3" l="1"/>
  <c r="AH432" i="3" s="1"/>
  <c r="U431" i="3"/>
  <c r="Y430" i="3"/>
  <c r="AG432" i="3" l="1"/>
  <c r="E432" i="3"/>
  <c r="H432" i="3" s="1"/>
  <c r="D432" i="3"/>
  <c r="K432" i="3" l="1"/>
  <c r="AE432" i="3" s="1"/>
  <c r="F432" i="3"/>
  <c r="G432" i="3"/>
  <c r="I432" i="3" l="1"/>
  <c r="J432" i="3"/>
  <c r="AD432" i="3" s="1"/>
  <c r="M432" i="3"/>
  <c r="N432" i="3" s="1"/>
  <c r="V432" i="3"/>
  <c r="A433" i="3"/>
  <c r="B433" i="3" s="1"/>
  <c r="W432" i="3" l="1"/>
  <c r="L432" i="3"/>
  <c r="P433" i="3"/>
  <c r="Q433" i="3" s="1"/>
  <c r="R433" i="3" s="1"/>
  <c r="S433" i="3" s="1"/>
  <c r="AC433" i="3"/>
  <c r="Z433" i="3"/>
  <c r="AA433" i="3"/>
  <c r="U432" i="3" l="1"/>
  <c r="Y431" i="3"/>
  <c r="T433" i="3"/>
  <c r="E433" i="3" l="1"/>
  <c r="H433" i="3" s="1"/>
  <c r="K433" i="3" s="1"/>
  <c r="AE433" i="3" s="1"/>
  <c r="D433" i="3"/>
  <c r="AG433" i="3"/>
  <c r="AH433" i="3"/>
  <c r="F433" i="3" l="1"/>
  <c r="G433" i="3"/>
  <c r="M433" i="3" s="1"/>
  <c r="N433" i="3" s="1"/>
  <c r="V433" i="3"/>
  <c r="A434" i="3"/>
  <c r="B434" i="3" s="1"/>
  <c r="I433" i="3" l="1"/>
  <c r="W433" i="3" s="1"/>
  <c r="J433" i="3"/>
  <c r="P434" i="3"/>
  <c r="Q434" i="3" s="1"/>
  <c r="R434" i="3" s="1"/>
  <c r="S434" i="3" s="1"/>
  <c r="Z434" i="3"/>
  <c r="AA434" i="3"/>
  <c r="AC434" i="3"/>
  <c r="L433" i="3" l="1"/>
  <c r="U433" i="3" s="1"/>
  <c r="AD433" i="3"/>
  <c r="T434" i="3"/>
  <c r="AH434" i="3" l="1"/>
  <c r="Y432" i="3"/>
  <c r="E434" i="3"/>
  <c r="H434" i="3" s="1"/>
  <c r="K434" i="3" s="1"/>
  <c r="AE434" i="3" s="1"/>
  <c r="AG434" i="3"/>
  <c r="D434" i="3"/>
  <c r="F434" i="3" l="1"/>
  <c r="G434" i="3"/>
  <c r="M434" i="3" s="1"/>
  <c r="N434" i="3" s="1"/>
  <c r="V434" i="3"/>
  <c r="A435" i="3"/>
  <c r="B435" i="3" s="1"/>
  <c r="I434" i="3" l="1"/>
  <c r="W434" i="3" s="1"/>
  <c r="J434" i="3"/>
  <c r="P435" i="3"/>
  <c r="Q435" i="3" s="1"/>
  <c r="R435" i="3" s="1"/>
  <c r="S435" i="3" s="1"/>
  <c r="AA435" i="3"/>
  <c r="AC435" i="3"/>
  <c r="Z435" i="3"/>
  <c r="L434" i="3" l="1"/>
  <c r="Y433" i="3" s="1"/>
  <c r="AD434" i="3"/>
  <c r="T435" i="3"/>
  <c r="U434" i="3" l="1"/>
  <c r="E435" i="3" s="1"/>
  <c r="H435" i="3" s="1"/>
  <c r="AG435" i="3"/>
  <c r="AH435" i="3"/>
  <c r="D435" i="3" l="1"/>
  <c r="G435" i="3" s="1"/>
  <c r="I435" i="3" s="1"/>
  <c r="K435" i="3"/>
  <c r="AE435" i="3" s="1"/>
  <c r="J435" i="3" l="1"/>
  <c r="M435" i="3"/>
  <c r="N435" i="3" s="1"/>
  <c r="F435" i="3"/>
  <c r="V435" i="3"/>
  <c r="W435" i="3" s="1"/>
  <c r="A436" i="3"/>
  <c r="B436" i="3" s="1"/>
  <c r="L435" i="3" l="1"/>
  <c r="Y434" i="3" s="1"/>
  <c r="AD435" i="3"/>
  <c r="AC436" i="3"/>
  <c r="Z436" i="3"/>
  <c r="P436" i="3"/>
  <c r="Q436" i="3" s="1"/>
  <c r="R436" i="3" s="1"/>
  <c r="S436" i="3" s="1"/>
  <c r="AA436" i="3"/>
  <c r="U435" i="3" l="1"/>
  <c r="T436" i="3"/>
  <c r="E436" i="3" l="1"/>
  <c r="H436" i="3" s="1"/>
  <c r="D436" i="3"/>
  <c r="AH436" i="3"/>
  <c r="AG436" i="3"/>
  <c r="F436" i="3" l="1"/>
  <c r="G436" i="3"/>
  <c r="K436" i="3"/>
  <c r="AE436" i="3" s="1"/>
  <c r="I436" i="3" l="1"/>
  <c r="J436" i="3"/>
  <c r="AD436" i="3" s="1"/>
  <c r="M436" i="3"/>
  <c r="N436" i="3" s="1"/>
  <c r="V436" i="3"/>
  <c r="A437" i="3"/>
  <c r="B437" i="3" s="1"/>
  <c r="W436" i="3" l="1"/>
  <c r="L436" i="3"/>
  <c r="AC437" i="3"/>
  <c r="AA437" i="3"/>
  <c r="P437" i="3"/>
  <c r="Q437" i="3" s="1"/>
  <c r="R437" i="3" s="1"/>
  <c r="S437" i="3" s="1"/>
  <c r="Z437" i="3"/>
  <c r="U436" i="3" l="1"/>
  <c r="Y435" i="3"/>
  <c r="T437" i="3"/>
  <c r="AH437" i="3" s="1"/>
  <c r="D437" i="3" l="1"/>
  <c r="G437" i="3" s="1"/>
  <c r="E437" i="3"/>
  <c r="H437" i="3" s="1"/>
  <c r="K437" i="3" s="1"/>
  <c r="AE437" i="3" s="1"/>
  <c r="AG437" i="3"/>
  <c r="F437" i="3" l="1"/>
  <c r="I437" i="3"/>
  <c r="J437" i="3"/>
  <c r="AD437" i="3" s="1"/>
  <c r="M437" i="3"/>
  <c r="N437" i="3" s="1"/>
  <c r="V437" i="3"/>
  <c r="A438" i="3"/>
  <c r="B438" i="3" s="1"/>
  <c r="W437" i="3" l="1"/>
  <c r="L437" i="3"/>
  <c r="Z438" i="3"/>
  <c r="P438" i="3"/>
  <c r="Q438" i="3" s="1"/>
  <c r="R438" i="3" s="1"/>
  <c r="S438" i="3" s="1"/>
  <c r="AC438" i="3"/>
  <c r="AA438" i="3"/>
  <c r="U437" i="3" l="1"/>
  <c r="Y436" i="3"/>
  <c r="T438" i="3"/>
  <c r="E438" i="3" l="1"/>
  <c r="H438" i="3" s="1"/>
  <c r="K438" i="3" s="1"/>
  <c r="AE438" i="3" s="1"/>
  <c r="D438" i="3"/>
  <c r="AH438" i="3"/>
  <c r="AG438" i="3"/>
  <c r="V438" i="3" l="1"/>
  <c r="A439" i="3"/>
  <c r="B439" i="3" s="1"/>
  <c r="F438" i="3"/>
  <c r="G438" i="3"/>
  <c r="I438" i="3" l="1"/>
  <c r="W438" i="3" s="1"/>
  <c r="J438" i="3"/>
  <c r="AD438" i="3" s="1"/>
  <c r="M438" i="3"/>
  <c r="N438" i="3" s="1"/>
  <c r="Z439" i="3"/>
  <c r="P439" i="3"/>
  <c r="Q439" i="3" s="1"/>
  <c r="R439" i="3" s="1"/>
  <c r="S439" i="3" s="1"/>
  <c r="AC439" i="3"/>
  <c r="AA439" i="3"/>
  <c r="T439" i="3" l="1"/>
  <c r="L438" i="3"/>
  <c r="AG439" i="3" l="1"/>
  <c r="AH439" i="3"/>
  <c r="U438" i="3"/>
  <c r="E439" i="3" s="1"/>
  <c r="H439" i="3" s="1"/>
  <c r="Y437" i="3"/>
  <c r="D439" i="3" l="1"/>
  <c r="G439" i="3" s="1"/>
  <c r="K439" i="3"/>
  <c r="AE439" i="3" s="1"/>
  <c r="F439" i="3" l="1"/>
  <c r="V439" i="3"/>
  <c r="A440" i="3"/>
  <c r="B440" i="3" s="1"/>
  <c r="I439" i="3"/>
  <c r="J439" i="3"/>
  <c r="AD439" i="3" s="1"/>
  <c r="M439" i="3"/>
  <c r="N439" i="3" s="1"/>
  <c r="W439" i="3" l="1"/>
  <c r="L439" i="3"/>
  <c r="Z440" i="3"/>
  <c r="AC440" i="3"/>
  <c r="P440" i="3"/>
  <c r="Q440" i="3" s="1"/>
  <c r="R440" i="3" s="1"/>
  <c r="S440" i="3" s="1"/>
  <c r="AA440" i="3"/>
  <c r="T440" i="3" l="1"/>
  <c r="AH440" i="3" s="1"/>
  <c r="U439" i="3"/>
  <c r="Y438" i="3"/>
  <c r="AG440" i="3" l="1"/>
  <c r="D440" i="3"/>
  <c r="E440" i="3"/>
  <c r="H440" i="3" s="1"/>
  <c r="K440" i="3" l="1"/>
  <c r="AE440" i="3" s="1"/>
  <c r="F440" i="3"/>
  <c r="G440" i="3"/>
  <c r="I440" i="3" l="1"/>
  <c r="J440" i="3"/>
  <c r="AD440" i="3" s="1"/>
  <c r="M440" i="3"/>
  <c r="N440" i="3" s="1"/>
  <c r="V440" i="3"/>
  <c r="A441" i="3"/>
  <c r="B441" i="3" s="1"/>
  <c r="W440" i="3" l="1"/>
  <c r="L440" i="3"/>
  <c r="P441" i="3"/>
  <c r="Q441" i="3" s="1"/>
  <c r="R441" i="3" s="1"/>
  <c r="S441" i="3" s="1"/>
  <c r="AC441" i="3"/>
  <c r="Z441" i="3"/>
  <c r="AA441" i="3"/>
  <c r="T441" i="3" l="1"/>
  <c r="AH441" i="3" s="1"/>
  <c r="U440" i="3"/>
  <c r="Y439" i="3"/>
  <c r="E441" i="3" l="1"/>
  <c r="H441" i="3" s="1"/>
  <c r="K441" i="3" s="1"/>
  <c r="AE441" i="3" s="1"/>
  <c r="AG441" i="3"/>
  <c r="D441" i="3"/>
  <c r="V441" i="3" l="1"/>
  <c r="A442" i="3"/>
  <c r="B442" i="3" s="1"/>
  <c r="F441" i="3"/>
  <c r="G441" i="3"/>
  <c r="I441" i="3" l="1"/>
  <c r="W441" i="3" s="1"/>
  <c r="J441" i="3"/>
  <c r="AD441" i="3" s="1"/>
  <c r="M441" i="3"/>
  <c r="N441" i="3" s="1"/>
  <c r="AC442" i="3"/>
  <c r="AA442" i="3"/>
  <c r="P442" i="3"/>
  <c r="Q442" i="3" s="1"/>
  <c r="R442" i="3" s="1"/>
  <c r="S442" i="3" s="1"/>
  <c r="Z442" i="3"/>
  <c r="T442" i="3" l="1"/>
  <c r="L441" i="3"/>
  <c r="U441" i="3" l="1"/>
  <c r="D442" i="3" s="1"/>
  <c r="AH442" i="3"/>
  <c r="AG442" i="3"/>
  <c r="Y440" i="3"/>
  <c r="G442" i="3" l="1"/>
  <c r="E442" i="3"/>
  <c r="H442" i="3" s="1"/>
  <c r="I442" i="3" l="1"/>
  <c r="J442" i="3"/>
  <c r="AD442" i="3" s="1"/>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U446" i="3"/>
  <c r="Y445" i="3"/>
  <c r="T447" i="3" l="1"/>
  <c r="AG447" i="3" s="1"/>
  <c r="D447" i="3" l="1"/>
  <c r="G447" i="3" s="1"/>
  <c r="AH447" i="3"/>
  <c r="E447" i="3"/>
  <c r="H447" i="3" s="1"/>
  <c r="K447" i="3" s="1"/>
  <c r="AE447" i="3" s="1"/>
  <c r="F447" i="3" l="1"/>
  <c r="I447" i="3"/>
  <c r="J447" i="3"/>
  <c r="AD447" i="3" s="1"/>
  <c r="M447" i="3"/>
  <c r="N447" i="3" s="1"/>
  <c r="V447" i="3"/>
  <c r="A448" i="3"/>
  <c r="B448" i="3" s="1"/>
  <c r="W447" i="3" l="1"/>
  <c r="L447" i="3"/>
  <c r="Z448" i="3"/>
  <c r="AA448" i="3"/>
  <c r="P448" i="3"/>
  <c r="Q448" i="3" s="1"/>
  <c r="R448" i="3" s="1"/>
  <c r="S448" i="3" s="1"/>
  <c r="AC448" i="3"/>
  <c r="T448" i="3" l="1"/>
  <c r="AG448" i="3" s="1"/>
  <c r="U447" i="3"/>
  <c r="Y446" i="3"/>
  <c r="D448" i="3" l="1"/>
  <c r="G448" i="3" s="1"/>
  <c r="E448" i="3"/>
  <c r="H448" i="3" s="1"/>
  <c r="AH448" i="3"/>
  <c r="F448" i="3" l="1"/>
  <c r="I448" i="3"/>
  <c r="J448" i="3"/>
  <c r="AD448" i="3" s="1"/>
  <c r="M448" i="3"/>
  <c r="N448" i="3" s="1"/>
  <c r="K448" i="3"/>
  <c r="AE448" i="3" s="1"/>
  <c r="V448" i="3" l="1"/>
  <c r="W448" i="3" s="1"/>
  <c r="A449" i="3"/>
  <c r="B449" i="3" s="1"/>
  <c r="L448" i="3"/>
  <c r="U448" i="3" l="1"/>
  <c r="Y447" i="3"/>
  <c r="P449" i="3"/>
  <c r="Q449" i="3" s="1"/>
  <c r="R449" i="3" s="1"/>
  <c r="S449" i="3" s="1"/>
  <c r="AA449" i="3"/>
  <c r="Z449" i="3"/>
  <c r="AC449" i="3"/>
  <c r="T449" i="3" l="1"/>
  <c r="D449" i="3" s="1"/>
  <c r="G449" i="3" l="1"/>
  <c r="AG449" i="3"/>
  <c r="AH449" i="3"/>
  <c r="E449" i="3"/>
  <c r="H449" i="3" s="1"/>
  <c r="K449" i="3" l="1"/>
  <c r="AE449" i="3" s="1"/>
  <c r="F449" i="3"/>
  <c r="I449" i="3"/>
  <c r="J449" i="3"/>
  <c r="AD449" i="3" s="1"/>
  <c r="M449" i="3"/>
  <c r="N449" i="3" s="1"/>
  <c r="L449" i="3" l="1"/>
  <c r="V449" i="3"/>
  <c r="W449" i="3" s="1"/>
  <c r="A450" i="3"/>
  <c r="B450" i="3" s="1"/>
  <c r="P450" i="3" l="1"/>
  <c r="Q450" i="3" s="1"/>
  <c r="R450" i="3" s="1"/>
  <c r="S450" i="3" s="1"/>
  <c r="Z450" i="3"/>
  <c r="AC450" i="3"/>
  <c r="AA450" i="3"/>
  <c r="U449" i="3"/>
  <c r="Y448" i="3"/>
  <c r="T450" i="3" l="1"/>
  <c r="D450" i="3" s="1"/>
  <c r="AH450" i="3" l="1"/>
  <c r="G450" i="3"/>
  <c r="E450" i="3"/>
  <c r="H450" i="3" s="1"/>
  <c r="AG450" i="3"/>
  <c r="F450" i="3" l="1"/>
  <c r="I450" i="3"/>
  <c r="J450" i="3"/>
  <c r="AD450" i="3" s="1"/>
  <c r="M450" i="3"/>
  <c r="N450" i="3" s="1"/>
  <c r="K450" i="3"/>
  <c r="AE450" i="3" s="1"/>
  <c r="V450" i="3" l="1"/>
  <c r="W450" i="3" s="1"/>
  <c r="A451" i="3"/>
  <c r="B451" i="3" s="1"/>
  <c r="L450" i="3"/>
  <c r="U450" i="3" l="1"/>
  <c r="Y449" i="3"/>
  <c r="P451" i="3"/>
  <c r="Q451" i="3" s="1"/>
  <c r="R451" i="3" s="1"/>
  <c r="S451" i="3" s="1"/>
  <c r="Z451" i="3"/>
  <c r="AA451" i="3"/>
  <c r="AC451" i="3"/>
  <c r="T451" i="3" l="1"/>
  <c r="AG451" i="3" s="1"/>
  <c r="E451" i="3" l="1"/>
  <c r="H451" i="3" s="1"/>
  <c r="K451" i="3" s="1"/>
  <c r="AE451" i="3" s="1"/>
  <c r="AH451" i="3"/>
  <c r="D451" i="3"/>
  <c r="V451" i="3" l="1"/>
  <c r="A452" i="3"/>
  <c r="B452" i="3" s="1"/>
  <c r="F451" i="3"/>
  <c r="G451" i="3"/>
  <c r="I451" i="3" l="1"/>
  <c r="W451" i="3" s="1"/>
  <c r="J451" i="3"/>
  <c r="AD451" i="3" s="1"/>
  <c r="M451" i="3"/>
  <c r="N451" i="3" s="1"/>
  <c r="AA452" i="3"/>
  <c r="P452" i="3"/>
  <c r="Q452" i="3" s="1"/>
  <c r="R452" i="3" s="1"/>
  <c r="S452" i="3" s="1"/>
  <c r="AC452" i="3"/>
  <c r="Z452" i="3"/>
  <c r="T452" i="3" l="1"/>
  <c r="L451" i="3"/>
  <c r="U451" i="3" l="1"/>
  <c r="D452" i="3" s="1"/>
  <c r="AH452" i="3"/>
  <c r="AG452" i="3"/>
  <c r="Y450" i="3"/>
  <c r="E452" i="3" l="1"/>
  <c r="H452" i="3" s="1"/>
  <c r="K452" i="3" s="1"/>
  <c r="AE452" i="3" s="1"/>
  <c r="G452" i="3"/>
  <c r="F452" i="3" l="1"/>
  <c r="I452" i="3"/>
  <c r="J452" i="3"/>
  <c r="AD452" i="3" s="1"/>
  <c r="M452" i="3"/>
  <c r="N452" i="3" s="1"/>
  <c r="V452" i="3"/>
  <c r="A453" i="3"/>
  <c r="B453" i="3" s="1"/>
  <c r="W452" i="3" l="1"/>
  <c r="L452" i="3"/>
  <c r="AA453" i="3"/>
  <c r="P453" i="3"/>
  <c r="Q453" i="3" s="1"/>
  <c r="R453" i="3" s="1"/>
  <c r="S453" i="3" s="1"/>
  <c r="AC453" i="3"/>
  <c r="Z453" i="3"/>
  <c r="U452" i="3" l="1"/>
  <c r="Y451" i="3"/>
  <c r="T453" i="3"/>
  <c r="AH453" i="3" s="1"/>
  <c r="AG453" i="3" l="1"/>
  <c r="E453" i="3"/>
  <c r="H453" i="3" s="1"/>
  <c r="D453" i="3"/>
  <c r="K453" i="3" l="1"/>
  <c r="AE453" i="3" s="1"/>
  <c r="F453" i="3"/>
  <c r="G453" i="3"/>
  <c r="I453" i="3" l="1"/>
  <c r="J453" i="3"/>
  <c r="AD453" i="3" s="1"/>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AD455" i="3" s="1"/>
  <c r="M455" i="3"/>
  <c r="N455" i="3" s="1"/>
  <c r="V455" i="3"/>
  <c r="A456" i="3"/>
  <c r="B456" i="3" s="1"/>
  <c r="W455" i="3" l="1"/>
  <c r="L455" i="3"/>
  <c r="AC456" i="3"/>
  <c r="P456" i="3"/>
  <c r="Q456" i="3" s="1"/>
  <c r="R456" i="3" s="1"/>
  <c r="S456" i="3" s="1"/>
  <c r="Z456" i="3"/>
  <c r="AA456" i="3"/>
  <c r="U455" i="3" l="1"/>
  <c r="Y454" i="3"/>
  <c r="T456" i="3"/>
  <c r="AG456" i="3" s="1"/>
  <c r="D456" i="3" l="1"/>
  <c r="G456" i="3" s="1"/>
  <c r="AH456" i="3"/>
  <c r="E456" i="3"/>
  <c r="H456" i="3" s="1"/>
  <c r="I456" i="3" l="1"/>
  <c r="J456" i="3"/>
  <c r="AD456" i="3" s="1"/>
  <c r="M456" i="3"/>
  <c r="N456" i="3" s="1"/>
  <c r="K456" i="3"/>
  <c r="AE456" i="3" s="1"/>
  <c r="F456" i="3"/>
  <c r="V456" i="3" l="1"/>
  <c r="W456" i="3" s="1"/>
  <c r="A457" i="3"/>
  <c r="B457" i="3" s="1"/>
  <c r="L456" i="3"/>
  <c r="Z457" i="3" l="1"/>
  <c r="AC457" i="3"/>
  <c r="P457" i="3"/>
  <c r="Q457" i="3" s="1"/>
  <c r="R457" i="3" s="1"/>
  <c r="S457" i="3" s="1"/>
  <c r="AA457" i="3"/>
  <c r="U456" i="3"/>
  <c r="Y455" i="3"/>
  <c r="T457" i="3" l="1"/>
  <c r="D457" i="3" l="1"/>
  <c r="AH457" i="3"/>
  <c r="E457" i="3"/>
  <c r="H457" i="3" s="1"/>
  <c r="AG457" i="3"/>
  <c r="F457" i="3" l="1"/>
  <c r="G457" i="3"/>
  <c r="K457" i="3"/>
  <c r="AE457" i="3" s="1"/>
  <c r="I457" i="3" l="1"/>
  <c r="J457" i="3"/>
  <c r="AD457" i="3" s="1"/>
  <c r="M457" i="3"/>
  <c r="N457" i="3" s="1"/>
  <c r="V457" i="3"/>
  <c r="A458" i="3"/>
  <c r="B458" i="3" s="1"/>
  <c r="L457" i="3" l="1"/>
  <c r="W457" i="3"/>
  <c r="P458" i="3"/>
  <c r="Q458" i="3" s="1"/>
  <c r="R458" i="3" s="1"/>
  <c r="S458" i="3" s="1"/>
  <c r="AC458" i="3"/>
  <c r="Z458" i="3"/>
  <c r="AA458" i="3"/>
  <c r="U457" i="3" l="1"/>
  <c r="Y456" i="3"/>
  <c r="T458" i="3"/>
  <c r="AH458" i="3" s="1"/>
  <c r="AG458" i="3" l="1"/>
  <c r="E458" i="3"/>
  <c r="H458" i="3" s="1"/>
  <c r="D458" i="3"/>
  <c r="K458" i="3" l="1"/>
  <c r="AE458" i="3" s="1"/>
  <c r="F458" i="3"/>
  <c r="G458" i="3"/>
  <c r="V458" i="3" l="1"/>
  <c r="A459" i="3"/>
  <c r="B459" i="3" s="1"/>
  <c r="I458" i="3"/>
  <c r="J458" i="3"/>
  <c r="AD458" i="3" s="1"/>
  <c r="M458" i="3"/>
  <c r="N458" i="3" s="1"/>
  <c r="W458" i="3" l="1"/>
  <c r="L458" i="3"/>
  <c r="Z459" i="3"/>
  <c r="P459" i="3"/>
  <c r="Q459" i="3" s="1"/>
  <c r="R459" i="3" s="1"/>
  <c r="S459" i="3" s="1"/>
  <c r="AA459" i="3"/>
  <c r="AC459" i="3"/>
  <c r="T459" i="3" l="1"/>
  <c r="AH459" i="3" s="1"/>
  <c r="U458" i="3"/>
  <c r="Y457" i="3"/>
  <c r="AG459" i="3" l="1"/>
  <c r="D459" i="3"/>
  <c r="E459" i="3"/>
  <c r="H459" i="3" s="1"/>
  <c r="K459" i="3" l="1"/>
  <c r="AE459" i="3" s="1"/>
  <c r="F459" i="3"/>
  <c r="G459" i="3"/>
  <c r="I459" i="3" l="1"/>
  <c r="J459" i="3"/>
  <c r="AD459" i="3" s="1"/>
  <c r="M459" i="3"/>
  <c r="N459" i="3" s="1"/>
  <c r="V459" i="3"/>
  <c r="A460" i="3"/>
  <c r="B460" i="3" s="1"/>
  <c r="W459" i="3" l="1"/>
  <c r="L459" i="3"/>
  <c r="P460" i="3"/>
  <c r="Q460" i="3" s="1"/>
  <c r="R460" i="3" s="1"/>
  <c r="S460" i="3" s="1"/>
  <c r="Z460" i="3"/>
  <c r="AA460" i="3"/>
  <c r="AC460" i="3"/>
  <c r="U459" i="3" l="1"/>
  <c r="Y458" i="3"/>
  <c r="T460" i="3"/>
  <c r="D460" i="3" l="1"/>
  <c r="G460" i="3" s="1"/>
  <c r="AH460" i="3"/>
  <c r="E460" i="3"/>
  <c r="H460" i="3" s="1"/>
  <c r="AG460" i="3"/>
  <c r="F460" i="3" l="1"/>
  <c r="I460" i="3"/>
  <c r="J460" i="3"/>
  <c r="AD460" i="3" s="1"/>
  <c r="M460" i="3"/>
  <c r="N460" i="3" s="1"/>
  <c r="K460" i="3"/>
  <c r="AE460" i="3" s="1"/>
  <c r="V460" i="3" l="1"/>
  <c r="W460" i="3" s="1"/>
  <c r="A461" i="3"/>
  <c r="B461" i="3" s="1"/>
  <c r="L460" i="3"/>
  <c r="U460" i="3" l="1"/>
  <c r="Y459" i="3"/>
  <c r="AC461" i="3"/>
  <c r="Z461" i="3"/>
  <c r="P461" i="3"/>
  <c r="Q461" i="3" s="1"/>
  <c r="R461" i="3" s="1"/>
  <c r="S461" i="3" s="1"/>
  <c r="AA461" i="3"/>
  <c r="T461" i="3" l="1"/>
  <c r="D461" i="3" s="1"/>
  <c r="AG461" i="3" l="1"/>
  <c r="G461" i="3"/>
  <c r="AH461" i="3"/>
  <c r="E461" i="3"/>
  <c r="H461" i="3" s="1"/>
  <c r="F461" i="3" l="1"/>
  <c r="I461" i="3"/>
  <c r="J461" i="3"/>
  <c r="AD461" i="3" s="1"/>
  <c r="M461" i="3"/>
  <c r="N461" i="3" s="1"/>
  <c r="K461" i="3"/>
  <c r="AE461" i="3" s="1"/>
  <c r="V461" i="3" l="1"/>
  <c r="W461" i="3" s="1"/>
  <c r="A462" i="3"/>
  <c r="B462" i="3" s="1"/>
  <c r="L461" i="3"/>
  <c r="U461" i="3" l="1"/>
  <c r="Y460" i="3"/>
  <c r="Z462" i="3"/>
  <c r="P462" i="3"/>
  <c r="Q462" i="3" s="1"/>
  <c r="R462" i="3" s="1"/>
  <c r="S462" i="3" s="1"/>
  <c r="AA462" i="3"/>
  <c r="AC462" i="3"/>
  <c r="T462" i="3" l="1"/>
  <c r="E462" i="3" s="1"/>
  <c r="H462" i="3" s="1"/>
  <c r="AG462" i="3" l="1"/>
  <c r="AH462" i="3"/>
  <c r="D462" i="3"/>
  <c r="G462" i="3" s="1"/>
  <c r="K462" i="3"/>
  <c r="AE462" i="3" s="1"/>
  <c r="F462" i="3" l="1"/>
  <c r="V462" i="3"/>
  <c r="A463" i="3"/>
  <c r="B463" i="3" s="1"/>
  <c r="I462" i="3"/>
  <c r="J462" i="3"/>
  <c r="AD462" i="3" s="1"/>
  <c r="M462" i="3"/>
  <c r="N462" i="3" s="1"/>
  <c r="W462" i="3" l="1"/>
  <c r="L462" i="3"/>
  <c r="P463" i="3"/>
  <c r="Q463" i="3" s="1"/>
  <c r="R463" i="3" s="1"/>
  <c r="S463" i="3" s="1"/>
  <c r="AC463" i="3"/>
  <c r="Z463" i="3"/>
  <c r="AA463" i="3"/>
  <c r="U462" i="3" l="1"/>
  <c r="Y461" i="3"/>
  <c r="T463" i="3"/>
  <c r="AH463" i="3" s="1"/>
  <c r="AG463" i="3" l="1"/>
  <c r="D463" i="3"/>
  <c r="E463" i="3"/>
  <c r="H463" i="3" s="1"/>
  <c r="F463" i="3" l="1"/>
  <c r="G463" i="3"/>
  <c r="K463" i="3"/>
  <c r="AE463" i="3" s="1"/>
  <c r="V463" i="3" l="1"/>
  <c r="A464" i="3"/>
  <c r="B464" i="3" s="1"/>
  <c r="I463" i="3"/>
  <c r="J463" i="3"/>
  <c r="AD463" i="3" s="1"/>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T465" i="3" l="1"/>
  <c r="AH465" i="3" s="1"/>
  <c r="U464" i="3"/>
  <c r="Y463" i="3"/>
  <c r="D465" i="3" l="1"/>
  <c r="G465" i="3" s="1"/>
  <c r="E465" i="3"/>
  <c r="H465" i="3" s="1"/>
  <c r="AG465" i="3"/>
  <c r="F465" i="3" l="1"/>
  <c r="I465" i="3"/>
  <c r="J465" i="3"/>
  <c r="AD465" i="3" s="1"/>
  <c r="M465" i="3"/>
  <c r="N465" i="3" s="1"/>
  <c r="K465" i="3"/>
  <c r="AE465" i="3" s="1"/>
  <c r="V465" i="3" l="1"/>
  <c r="W465" i="3" s="1"/>
  <c r="A466" i="3"/>
  <c r="B466" i="3" s="1"/>
  <c r="L465" i="3"/>
  <c r="U465" i="3" l="1"/>
  <c r="Y464" i="3"/>
  <c r="AA466" i="3"/>
  <c r="AC466" i="3"/>
  <c r="Z466" i="3"/>
  <c r="P466" i="3"/>
  <c r="Q466" i="3" s="1"/>
  <c r="R466" i="3" s="1"/>
  <c r="S466" i="3" s="1"/>
  <c r="T466" i="3" l="1"/>
  <c r="AH466" i="3" s="1"/>
  <c r="AG466" i="3" l="1"/>
  <c r="E466" i="3"/>
  <c r="H466" i="3" s="1"/>
  <c r="K466" i="3" s="1"/>
  <c r="AE466" i="3" s="1"/>
  <c r="D466" i="3"/>
  <c r="G466" i="3" s="1"/>
  <c r="F466" i="3" l="1"/>
  <c r="I466" i="3"/>
  <c r="J466" i="3"/>
  <c r="AD466" i="3" s="1"/>
  <c r="M466" i="3"/>
  <c r="N466" i="3" s="1"/>
  <c r="V466" i="3"/>
  <c r="A467" i="3"/>
  <c r="B467" i="3" s="1"/>
  <c r="W466" i="3" l="1"/>
  <c r="L466" i="3"/>
  <c r="P467" i="3"/>
  <c r="Q467" i="3" s="1"/>
  <c r="R467" i="3" s="1"/>
  <c r="S467" i="3" s="1"/>
  <c r="AA467" i="3"/>
  <c r="Z467" i="3"/>
  <c r="AC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I467" i="3"/>
  <c r="W467" i="3" s="1"/>
  <c r="J467" i="3"/>
  <c r="AD467" i="3" s="1"/>
  <c r="M467" i="3"/>
  <c r="N467" i="3" s="1"/>
  <c r="L467" i="3" l="1"/>
  <c r="T468" i="3"/>
  <c r="U467" i="3" l="1"/>
  <c r="D468" i="3" s="1"/>
  <c r="AH468" i="3"/>
  <c r="AG468" i="3"/>
  <c r="Y466" i="3"/>
  <c r="E468" i="3" l="1"/>
  <c r="H468" i="3" s="1"/>
  <c r="K468" i="3" s="1"/>
  <c r="AE468" i="3" s="1"/>
  <c r="G468" i="3"/>
  <c r="F468" i="3" l="1"/>
  <c r="I468" i="3"/>
  <c r="J468" i="3"/>
  <c r="AD468" i="3" s="1"/>
  <c r="M468" i="3"/>
  <c r="N468" i="3" s="1"/>
  <c r="V468" i="3"/>
  <c r="A469" i="3"/>
  <c r="B469" i="3" s="1"/>
  <c r="W468" i="3" l="1"/>
  <c r="L468" i="3"/>
  <c r="AA469" i="3"/>
  <c r="P469" i="3"/>
  <c r="Q469" i="3" s="1"/>
  <c r="R469" i="3" s="1"/>
  <c r="S469" i="3" s="1"/>
  <c r="Z469" i="3"/>
  <c r="AC469" i="3"/>
  <c r="U468" i="3" l="1"/>
  <c r="Y467" i="3"/>
  <c r="T469" i="3"/>
  <c r="AG469" i="3" s="1"/>
  <c r="D469" i="3" l="1"/>
  <c r="G469" i="3" s="1"/>
  <c r="AH469" i="3"/>
  <c r="E469" i="3"/>
  <c r="H469" i="3" s="1"/>
  <c r="K469" i="3" s="1"/>
  <c r="AE469" i="3" s="1"/>
  <c r="F469" i="3" l="1"/>
  <c r="I469" i="3"/>
  <c r="J469" i="3"/>
  <c r="AD469" i="3" s="1"/>
  <c r="M469" i="3"/>
  <c r="N469" i="3" s="1"/>
  <c r="V469" i="3"/>
  <c r="A470" i="3"/>
  <c r="B470" i="3" s="1"/>
  <c r="W469" i="3" l="1"/>
  <c r="L469" i="3"/>
  <c r="AC470" i="3"/>
  <c r="P470" i="3"/>
  <c r="Q470" i="3" s="1"/>
  <c r="R470" i="3" s="1"/>
  <c r="S470" i="3" s="1"/>
  <c r="AA470" i="3"/>
  <c r="Z470" i="3"/>
  <c r="U469" i="3" l="1"/>
  <c r="Y468" i="3"/>
  <c r="T470" i="3"/>
  <c r="D470" i="3" l="1"/>
  <c r="G470" i="3" s="1"/>
  <c r="AH470" i="3"/>
  <c r="AG470" i="3"/>
  <c r="E470" i="3"/>
  <c r="H470" i="3" s="1"/>
  <c r="K470" i="3" l="1"/>
  <c r="AE470" i="3" s="1"/>
  <c r="F470" i="3"/>
  <c r="I470" i="3"/>
  <c r="J470" i="3"/>
  <c r="AD470" i="3" s="1"/>
  <c r="M470" i="3"/>
  <c r="N470" i="3" s="1"/>
  <c r="V470" i="3" l="1"/>
  <c r="W470" i="3" s="1"/>
  <c r="A471" i="3"/>
  <c r="B471" i="3" s="1"/>
  <c r="L470" i="3"/>
  <c r="U470" i="3" l="1"/>
  <c r="Y469" i="3"/>
  <c r="Z471" i="3"/>
  <c r="AA471" i="3"/>
  <c r="AC471" i="3"/>
  <c r="P471" i="3"/>
  <c r="Q471" i="3" s="1"/>
  <c r="R471" i="3" s="1"/>
  <c r="S471" i="3" s="1"/>
  <c r="T471" i="3" l="1"/>
  <c r="AH471" i="3" s="1"/>
  <c r="AG471" i="3" l="1"/>
  <c r="E471" i="3"/>
  <c r="H471" i="3" s="1"/>
  <c r="D471" i="3"/>
  <c r="F471" i="3" l="1"/>
  <c r="G471" i="3"/>
  <c r="K471" i="3"/>
  <c r="AE471" i="3" s="1"/>
  <c r="V471" i="3" l="1"/>
  <c r="A472" i="3"/>
  <c r="B472" i="3" s="1"/>
  <c r="I471" i="3"/>
  <c r="J471" i="3"/>
  <c r="AD471" i="3" s="1"/>
  <c r="M471" i="3"/>
  <c r="N471" i="3" s="1"/>
  <c r="W471" i="3" l="1"/>
  <c r="L471" i="3"/>
  <c r="Z472" i="3"/>
  <c r="AA472" i="3"/>
  <c r="P472" i="3"/>
  <c r="Q472" i="3" s="1"/>
  <c r="R472" i="3" s="1"/>
  <c r="S472" i="3" s="1"/>
  <c r="AC472" i="3"/>
  <c r="U471" i="3" l="1"/>
  <c r="Y470" i="3"/>
  <c r="T472" i="3"/>
  <c r="E472" i="3" l="1"/>
  <c r="H472" i="3" s="1"/>
  <c r="K472" i="3" s="1"/>
  <c r="AE472" i="3" s="1"/>
  <c r="AG472" i="3"/>
  <c r="AH472" i="3"/>
  <c r="D472" i="3"/>
  <c r="V472" i="3" l="1"/>
  <c r="A473" i="3"/>
  <c r="B473" i="3" s="1"/>
  <c r="F472" i="3"/>
  <c r="G472" i="3"/>
  <c r="I472" i="3" l="1"/>
  <c r="W472" i="3" s="1"/>
  <c r="J472" i="3"/>
  <c r="AD472" i="3" s="1"/>
  <c r="M472" i="3"/>
  <c r="N472" i="3" s="1"/>
  <c r="AC473" i="3"/>
  <c r="P473" i="3"/>
  <c r="Q473" i="3" s="1"/>
  <c r="R473" i="3" s="1"/>
  <c r="S473" i="3" s="1"/>
  <c r="Z473" i="3"/>
  <c r="AA473" i="3"/>
  <c r="L472" i="3" l="1"/>
  <c r="T473" i="3"/>
  <c r="U472" i="3" l="1"/>
  <c r="D473" i="3" s="1"/>
  <c r="AH473" i="3"/>
  <c r="AG473" i="3"/>
  <c r="Y471" i="3"/>
  <c r="G473" i="3" l="1"/>
  <c r="E473" i="3"/>
  <c r="H473" i="3" s="1"/>
  <c r="F473" i="3" l="1"/>
  <c r="I473" i="3"/>
  <c r="J473" i="3"/>
  <c r="AD473" i="3" s="1"/>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D475" i="3"/>
  <c r="AA475" i="3"/>
  <c r="T475" i="3" l="1"/>
  <c r="AG475" i="3" s="1"/>
  <c r="AH475" i="3" l="1"/>
  <c r="E475" i="3"/>
  <c r="H475" i="3" s="1"/>
  <c r="K475" i="3" s="1"/>
  <c r="AE475" i="3" s="1"/>
  <c r="D475" i="3"/>
  <c r="F475" i="3" l="1"/>
  <c r="G475" i="3"/>
  <c r="M475" i="3" s="1"/>
  <c r="N475" i="3" s="1"/>
  <c r="V475" i="3"/>
  <c r="A476" i="3"/>
  <c r="B476" i="3" s="1"/>
  <c r="I475" i="3" l="1"/>
  <c r="W475" i="3" s="1"/>
  <c r="J475" i="3"/>
  <c r="L475" i="3" s="1"/>
  <c r="P476" i="3"/>
  <c r="Q476" i="3" s="1"/>
  <c r="R476" i="3" s="1"/>
  <c r="S476" i="3" s="1"/>
  <c r="AA476" i="3"/>
  <c r="AD476" i="3"/>
  <c r="Z476" i="3"/>
  <c r="AC476" i="3"/>
  <c r="U475" i="3" l="1"/>
  <c r="Y474" i="3"/>
  <c r="T476" i="3"/>
  <c r="AG476" i="3" s="1"/>
  <c r="D476" i="3" l="1"/>
  <c r="G476" i="3" s="1"/>
  <c r="E476" i="3"/>
  <c r="H476" i="3" s="1"/>
  <c r="K476" i="3" s="1"/>
  <c r="AE476" i="3" s="1"/>
  <c r="AH476" i="3"/>
  <c r="F476" i="3" l="1"/>
  <c r="V476" i="3"/>
  <c r="A477" i="3"/>
  <c r="B477" i="3" s="1"/>
  <c r="I476" i="3"/>
  <c r="J476" i="3"/>
  <c r="M476" i="3"/>
  <c r="N476" i="3" s="1"/>
  <c r="W476" i="3" l="1"/>
  <c r="L476" i="3"/>
  <c r="AA477" i="3"/>
  <c r="P477" i="3"/>
  <c r="Q477" i="3" s="1"/>
  <c r="R477" i="3" s="1"/>
  <c r="S477" i="3" s="1"/>
  <c r="AC477" i="3"/>
  <c r="Z477" i="3"/>
  <c r="U476" i="3" l="1"/>
  <c r="Y475" i="3"/>
  <c r="T477" i="3"/>
  <c r="D477" i="3" l="1"/>
  <c r="G477" i="3" s="1"/>
  <c r="AG477" i="3"/>
  <c r="E477" i="3"/>
  <c r="H477" i="3" s="1"/>
  <c r="K477" i="3" s="1"/>
  <c r="AE477" i="3" s="1"/>
  <c r="AH477" i="3"/>
  <c r="F477" i="3" l="1"/>
  <c r="V477" i="3"/>
  <c r="A478" i="3"/>
  <c r="B478" i="3" s="1"/>
  <c r="I477" i="3"/>
  <c r="J477" i="3"/>
  <c r="AD477" i="3" s="1"/>
  <c r="M477" i="3"/>
  <c r="N477" i="3" s="1"/>
  <c r="W477" i="3" l="1"/>
  <c r="L477" i="3"/>
  <c r="AA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AD478" i="3" s="1"/>
  <c r="M478" i="3"/>
  <c r="N478" i="3" s="1"/>
  <c r="P479" i="3"/>
  <c r="Q479" i="3" s="1"/>
  <c r="R479" i="3" s="1"/>
  <c r="S479" i="3" s="1"/>
  <c r="AD479" i="3"/>
  <c r="AC479" i="3"/>
  <c r="AA479" i="3"/>
  <c r="Z479" i="3"/>
  <c r="T479" i="3" l="1"/>
  <c r="L478" i="3"/>
  <c r="U478" i="3" l="1"/>
  <c r="E479" i="3" s="1"/>
  <c r="H479" i="3" s="1"/>
  <c r="AH479" i="3"/>
  <c r="AG479" i="3"/>
  <c r="Y477" i="3"/>
  <c r="D479" i="3" l="1"/>
  <c r="G479" i="3" s="1"/>
  <c r="K479" i="3"/>
  <c r="AE479" i="3" s="1"/>
  <c r="F479" i="3" l="1"/>
  <c r="I479" i="3"/>
  <c r="J479" i="3"/>
  <c r="M479" i="3"/>
  <c r="N479" i="3" s="1"/>
  <c r="V479" i="3"/>
  <c r="A480" i="3"/>
  <c r="B480" i="3" s="1"/>
  <c r="W479" i="3" l="1"/>
  <c r="AA480" i="3"/>
  <c r="P480" i="3"/>
  <c r="Q480" i="3" s="1"/>
  <c r="R480" i="3" s="1"/>
  <c r="S480" i="3" s="1"/>
  <c r="AD480" i="3"/>
  <c r="AC480" i="3"/>
  <c r="Z480" i="3"/>
  <c r="L479" i="3"/>
  <c r="U479" i="3" l="1"/>
  <c r="Y478" i="3"/>
  <c r="T480" i="3"/>
  <c r="E480" i="3" l="1"/>
  <c r="H480" i="3" s="1"/>
  <c r="K480" i="3" s="1"/>
  <c r="AE480" i="3" s="1"/>
  <c r="AH480" i="3"/>
  <c r="AG480" i="3"/>
  <c r="D480" i="3"/>
  <c r="V480" i="3" l="1"/>
  <c r="A481" i="3"/>
  <c r="B481" i="3" s="1"/>
  <c r="F480" i="3"/>
  <c r="G480" i="3"/>
  <c r="I480" i="3" l="1"/>
  <c r="W480" i="3" s="1"/>
  <c r="J480" i="3"/>
  <c r="M480" i="3"/>
  <c r="N480" i="3" s="1"/>
  <c r="P481" i="3"/>
  <c r="Q481" i="3" s="1"/>
  <c r="R481" i="3" s="1"/>
  <c r="S481" i="3" s="1"/>
  <c r="AC481" i="3"/>
  <c r="AA481" i="3"/>
  <c r="AD481" i="3"/>
  <c r="Z481" i="3"/>
  <c r="T481" i="3" l="1"/>
  <c r="L480" i="3"/>
  <c r="U480" i="3" l="1"/>
  <c r="D481" i="3" s="1"/>
  <c r="AG481" i="3"/>
  <c r="AH481" i="3"/>
  <c r="Y479" i="3"/>
  <c r="G481" i="3" l="1"/>
  <c r="E481" i="3"/>
  <c r="H481" i="3" s="1"/>
  <c r="K481" i="3" l="1"/>
  <c r="AE481" i="3" s="1"/>
  <c r="I481" i="3"/>
  <c r="J481" i="3"/>
  <c r="M481" i="3"/>
  <c r="N481" i="3" s="1"/>
  <c r="F481" i="3"/>
  <c r="V481" i="3" l="1"/>
  <c r="W481" i="3" s="1"/>
  <c r="A482" i="3"/>
  <c r="B482" i="3" s="1"/>
  <c r="L481" i="3"/>
  <c r="U481" i="3" l="1"/>
  <c r="Y480" i="3"/>
  <c r="AC482" i="3"/>
  <c r="AA482" i="3"/>
  <c r="P482" i="3"/>
  <c r="Q482" i="3" s="1"/>
  <c r="R482" i="3" s="1"/>
  <c r="S482" i="3" s="1"/>
  <c r="Z482" i="3"/>
  <c r="T482" i="3" l="1"/>
  <c r="D482" i="3" s="1"/>
  <c r="AG482" i="3" l="1"/>
  <c r="G482" i="3"/>
  <c r="AH482" i="3"/>
  <c r="E482" i="3"/>
  <c r="H482" i="3" s="1"/>
  <c r="F482" i="3" l="1"/>
  <c r="I482" i="3"/>
  <c r="J482" i="3"/>
  <c r="AD482" i="3" s="1"/>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AD487" i="3" s="1"/>
  <c r="M487" i="3"/>
  <c r="N487" i="3" s="1"/>
  <c r="AA488" i="3"/>
  <c r="Z488" i="3"/>
  <c r="P488" i="3"/>
  <c r="Q488" i="3" s="1"/>
  <c r="R488" i="3" s="1"/>
  <c r="S488" i="3" s="1"/>
  <c r="AC488" i="3"/>
  <c r="L487" i="3" l="1"/>
  <c r="T488" i="3"/>
  <c r="U487" i="3" l="1"/>
  <c r="D488" i="3" s="1"/>
  <c r="AG488" i="3"/>
  <c r="AH488" i="3"/>
  <c r="Y486" i="3"/>
  <c r="E488" i="3" l="1"/>
  <c r="H488" i="3" s="1"/>
  <c r="K488" i="3" s="1"/>
  <c r="AE488" i="3" s="1"/>
  <c r="G488" i="3"/>
  <c r="F488" i="3" l="1"/>
  <c r="I488" i="3"/>
  <c r="J488" i="3"/>
  <c r="AD488" i="3" s="1"/>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T492" i="3" l="1"/>
  <c r="U491" i="3"/>
  <c r="Y490" i="3"/>
  <c r="D492" i="3" l="1"/>
  <c r="G492" i="3" s="1"/>
  <c r="AH492" i="3"/>
  <c r="AG492" i="3"/>
  <c r="E492" i="3"/>
  <c r="H492" i="3" s="1"/>
  <c r="F492" i="3" l="1"/>
  <c r="I492" i="3"/>
  <c r="J492" i="3"/>
  <c r="AD492" i="3" s="1"/>
  <c r="M492" i="3"/>
  <c r="N492" i="3" s="1"/>
  <c r="K492" i="3"/>
  <c r="AE492" i="3" s="1"/>
  <c r="L492" i="3" l="1"/>
  <c r="V492" i="3"/>
  <c r="W492" i="3" s="1"/>
  <c r="A493" i="3"/>
  <c r="B493" i="3" s="1"/>
  <c r="U492" i="3" l="1"/>
  <c r="Y491" i="3"/>
  <c r="P493" i="3"/>
  <c r="Q493" i="3" s="1"/>
  <c r="R493" i="3" s="1"/>
  <c r="S493" i="3" s="1"/>
  <c r="AC493" i="3"/>
  <c r="AA493" i="3"/>
  <c r="Z493" i="3"/>
  <c r="T493" i="3" l="1"/>
  <c r="AH493" i="3" s="1"/>
  <c r="AG493" i="3" l="1"/>
  <c r="E493" i="3"/>
  <c r="H493" i="3" s="1"/>
  <c r="K493" i="3" s="1"/>
  <c r="AE493" i="3" s="1"/>
  <c r="D493" i="3"/>
  <c r="F493" i="3" l="1"/>
  <c r="G493" i="3"/>
  <c r="J493" i="3" s="1"/>
  <c r="AD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AD495" i="3" s="1"/>
  <c r="M495" i="3"/>
  <c r="N495" i="3" s="1"/>
  <c r="W495" i="3" l="1"/>
  <c r="L495"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AD496" i="3" s="1"/>
  <c r="M496" i="3"/>
  <c r="N496" i="3" s="1"/>
  <c r="W496" i="3" l="1"/>
  <c r="L496" i="3"/>
  <c r="P497" i="3"/>
  <c r="Q497" i="3" s="1"/>
  <c r="R497" i="3" s="1"/>
  <c r="S497" i="3" s="1"/>
  <c r="AC497" i="3"/>
  <c r="AA497" i="3"/>
  <c r="Z497" i="3"/>
  <c r="U496" i="3" l="1"/>
  <c r="Y495" i="3"/>
  <c r="T497" i="3"/>
  <c r="AG497" i="3" s="1"/>
  <c r="E497" i="3" l="1"/>
  <c r="H497" i="3" s="1"/>
  <c r="D497" i="3"/>
  <c r="AH497" i="3"/>
  <c r="F497" i="3" l="1"/>
  <c r="G497" i="3"/>
  <c r="K497" i="3"/>
  <c r="AE497" i="3" s="1"/>
  <c r="I497" i="3" l="1"/>
  <c r="J497" i="3"/>
  <c r="AD497" i="3" s="1"/>
  <c r="M497" i="3"/>
  <c r="N497" i="3" s="1"/>
  <c r="V497" i="3"/>
  <c r="A498" i="3"/>
  <c r="B498" i="3" s="1"/>
  <c r="W497" i="3" l="1"/>
  <c r="L497" i="3"/>
  <c r="Z498" i="3"/>
  <c r="AC498" i="3"/>
  <c r="AA498" i="3"/>
  <c r="P498" i="3"/>
  <c r="Q498" i="3" s="1"/>
  <c r="R498" i="3" s="1"/>
  <c r="S498" i="3" s="1"/>
  <c r="U497" i="3" l="1"/>
  <c r="Y496" i="3"/>
  <c r="T498" i="3"/>
  <c r="AH498" i="3" s="1"/>
  <c r="AG498" i="3" l="1"/>
  <c r="D498" i="3"/>
  <c r="E498" i="3"/>
  <c r="H498" i="3" s="1"/>
  <c r="F498" i="3" l="1"/>
  <c r="G498" i="3"/>
  <c r="K498" i="3"/>
  <c r="AE498" i="3" s="1"/>
  <c r="I498" i="3" l="1"/>
  <c r="J498" i="3"/>
  <c r="AD498" i="3" s="1"/>
  <c r="M498" i="3"/>
  <c r="N498" i="3" s="1"/>
  <c r="V498" i="3"/>
  <c r="A499" i="3"/>
  <c r="B499" i="3" s="1"/>
  <c r="W498" i="3" l="1"/>
  <c r="L498" i="3"/>
  <c r="AC499" i="3"/>
  <c r="P499" i="3"/>
  <c r="Q499" i="3" s="1"/>
  <c r="R499" i="3" s="1"/>
  <c r="S499" i="3" s="1"/>
  <c r="AA499" i="3"/>
  <c r="Z499" i="3"/>
  <c r="T499" i="3" l="1"/>
  <c r="U498" i="3"/>
  <c r="Y497" i="3"/>
  <c r="D499" i="3" l="1"/>
  <c r="G499" i="3" s="1"/>
  <c r="AH499" i="3"/>
  <c r="E499" i="3"/>
  <c r="H499" i="3" s="1"/>
  <c r="AG499" i="3"/>
  <c r="F499" i="3" l="1"/>
  <c r="I499" i="3"/>
  <c r="J499" i="3"/>
  <c r="AD499" i="3" s="1"/>
  <c r="M499" i="3"/>
  <c r="N499" i="3" s="1"/>
  <c r="K499" i="3"/>
  <c r="AE499" i="3" s="1"/>
  <c r="V499" i="3" l="1"/>
  <c r="W499" i="3" s="1"/>
  <c r="A500" i="3"/>
  <c r="B500" i="3" s="1"/>
  <c r="L499" i="3"/>
  <c r="U499" i="3" l="1"/>
  <c r="Y498" i="3"/>
  <c r="AA500" i="3"/>
  <c r="AC500" i="3"/>
  <c r="P500" i="3"/>
  <c r="Q500" i="3" s="1"/>
  <c r="R500" i="3" s="1"/>
  <c r="S500" i="3" s="1"/>
  <c r="Z500" i="3"/>
  <c r="T500" i="3" l="1"/>
  <c r="AH500" i="3" s="1"/>
  <c r="D500" i="3" l="1"/>
  <c r="AG500" i="3"/>
  <c r="E500" i="3"/>
  <c r="H500" i="3" s="1"/>
  <c r="F500" i="3" l="1"/>
  <c r="G500" i="3"/>
  <c r="K500" i="3"/>
  <c r="AE500" i="3" s="1"/>
  <c r="I500" i="3" l="1"/>
  <c r="J500" i="3"/>
  <c r="AD500" i="3" s="1"/>
  <c r="M500" i="3"/>
  <c r="N500" i="3" s="1"/>
  <c r="V500" i="3"/>
  <c r="A501" i="3"/>
  <c r="B501" i="3" s="1"/>
  <c r="W500" i="3" l="1"/>
  <c r="L500" i="3"/>
  <c r="P501" i="3"/>
  <c r="Q501" i="3" s="1"/>
  <c r="R501" i="3" s="1"/>
  <c r="S501" i="3" s="1"/>
  <c r="AC501" i="3"/>
  <c r="Z501" i="3"/>
  <c r="AA501" i="3"/>
  <c r="U500" i="3" l="1"/>
  <c r="Y499" i="3"/>
  <c r="T501" i="3"/>
  <c r="D501" i="3" l="1"/>
  <c r="G501" i="3" s="1"/>
  <c r="E501" i="3"/>
  <c r="H501" i="3" s="1"/>
  <c r="K501" i="3" s="1"/>
  <c r="AE501" i="3" s="1"/>
  <c r="AG501" i="3"/>
  <c r="AH501" i="3"/>
  <c r="F501" i="3" l="1"/>
  <c r="I501" i="3"/>
  <c r="J501" i="3"/>
  <c r="AD501" i="3" s="1"/>
  <c r="M501" i="3"/>
  <c r="N501" i="3" s="1"/>
  <c r="V501" i="3"/>
  <c r="A502" i="3"/>
  <c r="B502" i="3" s="1"/>
  <c r="L501" i="3" l="1"/>
  <c r="W501" i="3"/>
  <c r="Z502" i="3"/>
  <c r="AA502" i="3"/>
  <c r="AC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AD502" i="3" s="1"/>
  <c r="M502" i="3"/>
  <c r="N502" i="3" s="1"/>
  <c r="AA503" i="3"/>
  <c r="P503" i="3"/>
  <c r="Q503" i="3" s="1"/>
  <c r="R503" i="3" s="1"/>
  <c r="S503" i="3" s="1"/>
  <c r="AC503" i="3"/>
  <c r="Z503" i="3"/>
  <c r="T503" i="3" l="1"/>
  <c r="L502" i="3"/>
  <c r="AG503" i="3" l="1"/>
  <c r="AH503" i="3"/>
  <c r="U502" i="3"/>
  <c r="E503" i="3" s="1"/>
  <c r="H503" i="3" s="1"/>
  <c r="Y501" i="3"/>
  <c r="D503" i="3" l="1"/>
  <c r="G503" i="3" s="1"/>
  <c r="K503" i="3"/>
  <c r="AE503" i="3" s="1"/>
  <c r="F503" i="3" l="1"/>
  <c r="V503" i="3"/>
  <c r="A504" i="3"/>
  <c r="B504" i="3" s="1"/>
  <c r="I503" i="3"/>
  <c r="J503" i="3"/>
  <c r="AD503" i="3" s="1"/>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A505" i="3"/>
  <c r="L504" i="3" l="1"/>
  <c r="Y503" i="3" s="1"/>
  <c r="AD504" i="3"/>
  <c r="T505" i="3"/>
  <c r="AH505" i="3" l="1"/>
  <c r="U504" i="3"/>
  <c r="D505" i="3" s="1"/>
  <c r="G505" i="3" s="1"/>
  <c r="AG505" i="3"/>
  <c r="E505" i="3" l="1"/>
  <c r="H505" i="3" s="1"/>
  <c r="K505" i="3" s="1"/>
  <c r="AE505" i="3" s="1"/>
  <c r="J505" i="3"/>
  <c r="AD505" i="3" s="1"/>
  <c r="I505" i="3" l="1"/>
  <c r="F505" i="3"/>
  <c r="V505" i="3"/>
  <c r="M505" i="3"/>
  <c r="N505" i="3" s="1"/>
  <c r="A506" i="3"/>
  <c r="B506" i="3" s="1"/>
  <c r="P506" i="3" s="1"/>
  <c r="Q506" i="3" s="1"/>
  <c r="R506" i="3" s="1"/>
  <c r="S506" i="3" s="1"/>
  <c r="L505" i="3"/>
  <c r="W505" i="3" l="1"/>
  <c r="AA506" i="3"/>
  <c r="AC506" i="3"/>
  <c r="Z506" i="3"/>
  <c r="U505" i="3"/>
  <c r="Y504" i="3"/>
  <c r="T506" i="3"/>
  <c r="AG506" i="3" l="1"/>
  <c r="D506" i="3"/>
  <c r="G506" i="3" s="1"/>
  <c r="AH506" i="3"/>
  <c r="E506" i="3"/>
  <c r="H506" i="3" s="1"/>
  <c r="K506" i="3" s="1"/>
  <c r="AE506" i="3" s="1"/>
  <c r="F506" i="3" l="1"/>
  <c r="I506" i="3"/>
  <c r="J506" i="3"/>
  <c r="AD506" i="3" s="1"/>
  <c r="M506" i="3"/>
  <c r="N506" i="3" s="1"/>
  <c r="V506" i="3"/>
  <c r="A507" i="3"/>
  <c r="B507" i="3" s="1"/>
  <c r="W506" i="3" l="1"/>
  <c r="L506" i="3"/>
  <c r="AC507" i="3"/>
  <c r="P507" i="3"/>
  <c r="Q507" i="3" s="1"/>
  <c r="R507" i="3" s="1"/>
  <c r="S507" i="3" s="1"/>
  <c r="AA507" i="3"/>
  <c r="Z507" i="3"/>
  <c r="U506" i="3" l="1"/>
  <c r="Y505" i="3"/>
  <c r="T507" i="3"/>
  <c r="AH507" i="3" s="1"/>
  <c r="AG507" i="3" l="1"/>
  <c r="E507" i="3"/>
  <c r="H507" i="3" s="1"/>
  <c r="D507" i="3"/>
  <c r="K507" i="3" l="1"/>
  <c r="AE507" i="3" s="1"/>
  <c r="F507" i="3"/>
  <c r="G507" i="3"/>
  <c r="I507" i="3" l="1"/>
  <c r="J507" i="3"/>
  <c r="AD507" i="3" s="1"/>
  <c r="M507" i="3"/>
  <c r="N507" i="3" s="1"/>
  <c r="V507" i="3"/>
  <c r="A508" i="3"/>
  <c r="B508" i="3" s="1"/>
  <c r="W507" i="3" l="1"/>
  <c r="L507" i="3"/>
  <c r="P508" i="3"/>
  <c r="Q508" i="3" s="1"/>
  <c r="R508" i="3" s="1"/>
  <c r="S508" i="3" s="1"/>
  <c r="AA508" i="3"/>
  <c r="Z508" i="3"/>
  <c r="AC508" i="3"/>
  <c r="U507" i="3" l="1"/>
  <c r="Y506" i="3"/>
  <c r="T508" i="3"/>
  <c r="E508" i="3" l="1"/>
  <c r="H508" i="3" s="1"/>
  <c r="K508" i="3" s="1"/>
  <c r="AE508" i="3" s="1"/>
  <c r="AH508" i="3"/>
  <c r="D508" i="3"/>
  <c r="AG508" i="3"/>
  <c r="F508" i="3" l="1"/>
  <c r="G508" i="3"/>
  <c r="V508" i="3"/>
  <c r="A509" i="3"/>
  <c r="B509" i="3" s="1"/>
  <c r="AC509" i="3" l="1"/>
  <c r="Z509" i="3"/>
  <c r="AA509" i="3"/>
  <c r="P509" i="3"/>
  <c r="Q509" i="3" s="1"/>
  <c r="R509" i="3" s="1"/>
  <c r="S509" i="3" s="1"/>
  <c r="I508" i="3"/>
  <c r="W508" i="3" s="1"/>
  <c r="J508" i="3"/>
  <c r="AD508" i="3" s="1"/>
  <c r="M508" i="3"/>
  <c r="N508" i="3" s="1"/>
  <c r="L508" i="3" l="1"/>
  <c r="T509" i="3"/>
  <c r="AG509" i="3" l="1"/>
  <c r="AH509" i="3"/>
  <c r="U508" i="3"/>
  <c r="D509" i="3" s="1"/>
  <c r="Y507" i="3"/>
  <c r="G509" i="3" l="1"/>
  <c r="E509" i="3"/>
  <c r="H509" i="3" s="1"/>
  <c r="F509" i="3" l="1"/>
  <c r="I509" i="3"/>
  <c r="J509" i="3"/>
  <c r="AD509" i="3" s="1"/>
  <c r="M509" i="3"/>
  <c r="N509" i="3" s="1"/>
  <c r="K509" i="3"/>
  <c r="AE509" i="3" s="1"/>
  <c r="V509" i="3" l="1"/>
  <c r="W509" i="3" s="1"/>
  <c r="A510" i="3"/>
  <c r="B510" i="3" s="1"/>
  <c r="L509" i="3"/>
  <c r="U509" i="3" l="1"/>
  <c r="Y508" i="3"/>
  <c r="AC510" i="3"/>
  <c r="Z510" i="3"/>
  <c r="AA510" i="3"/>
  <c r="P510" i="3"/>
  <c r="Q510" i="3" s="1"/>
  <c r="R510" i="3" s="1"/>
  <c r="S510" i="3" s="1"/>
  <c r="T510" i="3" l="1"/>
  <c r="AH510" i="3" l="1"/>
  <c r="E510" i="3"/>
  <c r="H510" i="3" s="1"/>
  <c r="D510" i="3"/>
  <c r="AG510" i="3"/>
  <c r="F510" i="3" l="1"/>
  <c r="G510" i="3"/>
  <c r="K510" i="3"/>
  <c r="AE510" i="3" s="1"/>
  <c r="V510" i="3" l="1"/>
  <c r="A511" i="3"/>
  <c r="B511" i="3" s="1"/>
  <c r="I510" i="3"/>
  <c r="J510" i="3"/>
  <c r="AD510" i="3" s="1"/>
  <c r="M510" i="3"/>
  <c r="N510" i="3" s="1"/>
  <c r="L510" i="3" l="1"/>
  <c r="AA511" i="3"/>
  <c r="AC511" i="3"/>
  <c r="P511" i="3"/>
  <c r="Q511" i="3" s="1"/>
  <c r="R511" i="3" s="1"/>
  <c r="S511" i="3" s="1"/>
  <c r="Z511" i="3"/>
  <c r="W510" i="3"/>
  <c r="U510" i="3" l="1"/>
  <c r="Y509" i="3"/>
  <c r="T511" i="3"/>
  <c r="AG511" i="3" s="1"/>
  <c r="AH511" i="3" l="1"/>
  <c r="D511" i="3"/>
  <c r="E511" i="3"/>
  <c r="H511" i="3" s="1"/>
  <c r="F511" i="3" l="1"/>
  <c r="G511" i="3"/>
  <c r="K511" i="3"/>
  <c r="AE511" i="3" s="1"/>
  <c r="V511" i="3" l="1"/>
  <c r="A512" i="3"/>
  <c r="B512" i="3" s="1"/>
  <c r="I511" i="3"/>
  <c r="J511" i="3"/>
  <c r="AD511" i="3" s="1"/>
  <c r="M511" i="3"/>
  <c r="N511" i="3" s="1"/>
  <c r="W511" i="3" l="1"/>
  <c r="L511" i="3"/>
  <c r="AC512" i="3"/>
  <c r="Z512" i="3"/>
  <c r="AA512" i="3"/>
  <c r="P512" i="3"/>
  <c r="Q512" i="3" s="1"/>
  <c r="R512" i="3" s="1"/>
  <c r="S512" i="3" s="1"/>
  <c r="T512" i="3" l="1"/>
  <c r="U511" i="3"/>
  <c r="Y510" i="3"/>
  <c r="D512" i="3" l="1"/>
  <c r="G512" i="3" s="1"/>
  <c r="AH512" i="3"/>
  <c r="E512" i="3"/>
  <c r="H512" i="3" s="1"/>
  <c r="K512" i="3" s="1"/>
  <c r="AE512" i="3" s="1"/>
  <c r="AG512" i="3"/>
  <c r="F512" i="3" l="1"/>
  <c r="I512" i="3"/>
  <c r="J512" i="3"/>
  <c r="AD512" i="3" s="1"/>
  <c r="M512" i="3"/>
  <c r="N512" i="3" s="1"/>
  <c r="V512" i="3"/>
  <c r="A513" i="3"/>
  <c r="B513" i="3" s="1"/>
  <c r="W512" i="3" l="1"/>
  <c r="L512" i="3"/>
  <c r="AA513" i="3"/>
  <c r="P513" i="3"/>
  <c r="Q513" i="3" s="1"/>
  <c r="R513" i="3" s="1"/>
  <c r="S513" i="3" s="1"/>
  <c r="AC513" i="3"/>
  <c r="Z513" i="3"/>
  <c r="T513" i="3" l="1"/>
  <c r="AG513" i="3" s="1"/>
  <c r="U512" i="3"/>
  <c r="Y511" i="3"/>
  <c r="AH513" i="3" l="1"/>
  <c r="E513" i="3"/>
  <c r="H513" i="3" s="1"/>
  <c r="D513" i="3"/>
  <c r="F513" i="3" l="1"/>
  <c r="G513" i="3"/>
  <c r="K513" i="3"/>
  <c r="AE513" i="3" s="1"/>
  <c r="V513" i="3" l="1"/>
  <c r="A514" i="3"/>
  <c r="B514" i="3" s="1"/>
  <c r="I513" i="3"/>
  <c r="J513" i="3"/>
  <c r="AD513" i="3" s="1"/>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P515" i="3"/>
  <c r="Q515" i="3" s="1"/>
  <c r="R515" i="3" s="1"/>
  <c r="S515" i="3" s="1"/>
  <c r="AC515" i="3"/>
  <c r="Z515" i="3"/>
  <c r="AA515" i="3"/>
  <c r="U514" i="3" l="1"/>
  <c r="Y513" i="3"/>
  <c r="T515" i="3"/>
  <c r="D515" i="3" l="1"/>
  <c r="G515" i="3" s="1"/>
  <c r="AG515" i="3"/>
  <c r="AH515" i="3"/>
  <c r="E515" i="3"/>
  <c r="H515" i="3" s="1"/>
  <c r="K515" i="3" l="1"/>
  <c r="AE515" i="3" s="1"/>
  <c r="I515" i="3"/>
  <c r="J515" i="3"/>
  <c r="AD515" i="3" s="1"/>
  <c r="M515" i="3"/>
  <c r="N515" i="3" s="1"/>
  <c r="F515" i="3"/>
  <c r="L515" i="3" l="1"/>
  <c r="V515" i="3"/>
  <c r="W515" i="3" s="1"/>
  <c r="A516" i="3"/>
  <c r="B516" i="3" s="1"/>
  <c r="U515" i="3" l="1"/>
  <c r="Y514" i="3"/>
  <c r="AA516" i="3"/>
  <c r="Z516" i="3"/>
  <c r="AC516" i="3"/>
  <c r="P516" i="3"/>
  <c r="Q516" i="3" s="1"/>
  <c r="R516" i="3" s="1"/>
  <c r="S516" i="3" s="1"/>
  <c r="T516" i="3" l="1"/>
  <c r="AG516" i="3" s="1"/>
  <c r="D516" i="3" l="1"/>
  <c r="AH516" i="3"/>
  <c r="E516" i="3"/>
  <c r="H516" i="3" s="1"/>
  <c r="F516" i="3" l="1"/>
  <c r="G516" i="3"/>
  <c r="K516" i="3"/>
  <c r="AE516" i="3" s="1"/>
  <c r="I516" i="3" l="1"/>
  <c r="J516" i="3"/>
  <c r="AD516" i="3" s="1"/>
  <c r="M516" i="3"/>
  <c r="N516" i="3" s="1"/>
  <c r="V516" i="3"/>
  <c r="A517" i="3"/>
  <c r="B517" i="3" s="1"/>
  <c r="W516" i="3" l="1"/>
  <c r="L516" i="3"/>
  <c r="AC517" i="3"/>
  <c r="P517" i="3"/>
  <c r="Q517" i="3" s="1"/>
  <c r="R517" i="3" s="1"/>
  <c r="S517" i="3" s="1"/>
  <c r="AA517" i="3"/>
  <c r="Z517" i="3"/>
  <c r="U516" i="3" l="1"/>
  <c r="Y515" i="3"/>
  <c r="T517" i="3"/>
  <c r="AG517" i="3" s="1"/>
  <c r="D517" i="3" l="1"/>
  <c r="G517" i="3" s="1"/>
  <c r="AH517" i="3"/>
  <c r="E517" i="3"/>
  <c r="H517" i="3" s="1"/>
  <c r="K517" i="3" s="1"/>
  <c r="AE517" i="3" s="1"/>
  <c r="F517" i="3" l="1"/>
  <c r="I517" i="3"/>
  <c r="J517" i="3"/>
  <c r="AD517" i="3" s="1"/>
  <c r="M517" i="3"/>
  <c r="N517" i="3" s="1"/>
  <c r="V517" i="3"/>
  <c r="A518" i="3"/>
  <c r="B518" i="3" s="1"/>
  <c r="W517" i="3" l="1"/>
  <c r="L517" i="3"/>
  <c r="AA518" i="3"/>
  <c r="AC518" i="3"/>
  <c r="Z518" i="3"/>
  <c r="P518" i="3"/>
  <c r="Q518" i="3" s="1"/>
  <c r="R518" i="3" s="1"/>
  <c r="S518" i="3" s="1"/>
  <c r="U517" i="3" l="1"/>
  <c r="Y516" i="3"/>
  <c r="T518" i="3"/>
  <c r="D518" i="3" l="1"/>
  <c r="G518" i="3" s="1"/>
  <c r="E518" i="3"/>
  <c r="H518" i="3" s="1"/>
  <c r="AH518" i="3"/>
  <c r="AG518" i="3"/>
  <c r="F518" i="3" l="1"/>
  <c r="I518" i="3"/>
  <c r="J518" i="3"/>
  <c r="AD518" i="3" s="1"/>
  <c r="M518" i="3"/>
  <c r="N518" i="3" s="1"/>
  <c r="K518" i="3"/>
  <c r="AE518" i="3" s="1"/>
  <c r="V518" i="3" l="1"/>
  <c r="W518" i="3" s="1"/>
  <c r="A519" i="3"/>
  <c r="B519" i="3" s="1"/>
  <c r="L518" i="3"/>
  <c r="U518" i="3" l="1"/>
  <c r="Y517" i="3"/>
  <c r="AA519" i="3"/>
  <c r="Z519" i="3"/>
  <c r="AC519" i="3"/>
  <c r="P519" i="3"/>
  <c r="Q519" i="3" s="1"/>
  <c r="R519" i="3" s="1"/>
  <c r="S519" i="3" s="1"/>
  <c r="T519" i="3" l="1"/>
  <c r="D519" i="3" s="1"/>
  <c r="AG519" i="3" l="1"/>
  <c r="G519" i="3"/>
  <c r="AH519" i="3"/>
  <c r="E519" i="3"/>
  <c r="H519" i="3" s="1"/>
  <c r="F519" i="3" l="1"/>
  <c r="I519" i="3"/>
  <c r="J519" i="3"/>
  <c r="AD519" i="3" s="1"/>
  <c r="M519" i="3"/>
  <c r="N519" i="3" s="1"/>
  <c r="K519" i="3"/>
  <c r="AE519" i="3" s="1"/>
  <c r="V519" i="3" l="1"/>
  <c r="W519" i="3" s="1"/>
  <c r="A520" i="3"/>
  <c r="B520" i="3" s="1"/>
  <c r="L519" i="3"/>
  <c r="U519" i="3" l="1"/>
  <c r="Y518" i="3"/>
  <c r="AA520" i="3"/>
  <c r="AC520" i="3"/>
  <c r="Z520" i="3"/>
  <c r="P520" i="3"/>
  <c r="Q520" i="3" s="1"/>
  <c r="R520" i="3" s="1"/>
  <c r="S520" i="3" s="1"/>
  <c r="T520" i="3" l="1"/>
  <c r="D520" i="3" s="1"/>
  <c r="AG520" i="3" l="1"/>
  <c r="E520" i="3"/>
  <c r="H520" i="3" s="1"/>
  <c r="K520" i="3" s="1"/>
  <c r="AE520" i="3" s="1"/>
  <c r="AH520" i="3"/>
  <c r="G520" i="3"/>
  <c r="F520" i="3" l="1"/>
  <c r="I520" i="3"/>
  <c r="J520" i="3"/>
  <c r="AD520" i="3" s="1"/>
  <c r="M520" i="3"/>
  <c r="N520" i="3" s="1"/>
  <c r="V520" i="3"/>
  <c r="A521" i="3"/>
  <c r="B521" i="3" s="1"/>
  <c r="W520" i="3" l="1"/>
  <c r="L520" i="3"/>
  <c r="P521" i="3"/>
  <c r="Q521" i="3" s="1"/>
  <c r="R521" i="3" s="1"/>
  <c r="S521" i="3" s="1"/>
  <c r="AC521" i="3"/>
  <c r="AA521" i="3"/>
  <c r="Z521" i="3"/>
  <c r="U520" i="3" l="1"/>
  <c r="Y519" i="3"/>
  <c r="T521" i="3"/>
  <c r="AH521" i="3" s="1"/>
  <c r="AG521" i="3" l="1"/>
  <c r="D521" i="3"/>
  <c r="E521" i="3"/>
  <c r="H521" i="3" s="1"/>
  <c r="K521" i="3" s="1"/>
  <c r="AE521" i="3" s="1"/>
  <c r="F521" i="3" l="1"/>
  <c r="G521" i="3"/>
  <c r="I521" i="3" s="1"/>
  <c r="V521" i="3"/>
  <c r="A522" i="3"/>
  <c r="B522" i="3" s="1"/>
  <c r="M521" i="3" l="1"/>
  <c r="N521" i="3" s="1"/>
  <c r="J521" i="3"/>
  <c r="W521" i="3"/>
  <c r="AC522" i="3"/>
  <c r="P522" i="3"/>
  <c r="Q522" i="3" s="1"/>
  <c r="R522" i="3" s="1"/>
  <c r="S522" i="3" s="1"/>
  <c r="AA522" i="3"/>
  <c r="Z522" i="3"/>
  <c r="L521" i="3" l="1"/>
  <c r="U521" i="3" s="1"/>
  <c r="AD521" i="3"/>
  <c r="T522" i="3"/>
  <c r="AG522" i="3" l="1"/>
  <c r="Y520" i="3"/>
  <c r="AH522" i="3"/>
  <c r="E522" i="3"/>
  <c r="H522" i="3" s="1"/>
  <c r="D522" i="3"/>
  <c r="K522" i="3" l="1"/>
  <c r="AE522" i="3" s="1"/>
  <c r="F522" i="3"/>
  <c r="G522" i="3"/>
  <c r="I522" i="3" l="1"/>
  <c r="J522" i="3"/>
  <c r="AD522" i="3" s="1"/>
  <c r="M522" i="3"/>
  <c r="N522" i="3" s="1"/>
  <c r="V522" i="3"/>
  <c r="A523" i="3"/>
  <c r="B523" i="3" s="1"/>
  <c r="W522" i="3" l="1"/>
  <c r="L522" i="3"/>
  <c r="AC523" i="3"/>
  <c r="Z523" i="3"/>
  <c r="AA523" i="3"/>
  <c r="P523" i="3"/>
  <c r="Q523" i="3" s="1"/>
  <c r="R523" i="3" s="1"/>
  <c r="S523" i="3" s="1"/>
  <c r="U522" i="3" l="1"/>
  <c r="Y521" i="3"/>
  <c r="T523" i="3"/>
  <c r="AG523" i="3" s="1"/>
  <c r="AH523" i="3" l="1"/>
  <c r="D523" i="3"/>
  <c r="G523" i="3" s="1"/>
  <c r="E523" i="3"/>
  <c r="H523" i="3" s="1"/>
  <c r="F523" i="3" l="1"/>
  <c r="I523" i="3"/>
  <c r="J523" i="3"/>
  <c r="AD523" i="3" s="1"/>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Z525" i="3"/>
  <c r="P525" i="3"/>
  <c r="Q525" i="3" s="1"/>
  <c r="R525" i="3" s="1"/>
  <c r="S525" i="3" s="1"/>
  <c r="T525" i="3" l="1"/>
  <c r="AH525" i="3" s="1"/>
  <c r="U524" i="3"/>
  <c r="Y523" i="3"/>
  <c r="AG525" i="3" l="1"/>
  <c r="D525" i="3"/>
  <c r="E525" i="3"/>
  <c r="H525" i="3" s="1"/>
  <c r="F525" i="3" l="1"/>
  <c r="G525" i="3"/>
  <c r="K525" i="3"/>
  <c r="AE525" i="3" s="1"/>
  <c r="I525" i="3" l="1"/>
  <c r="J525" i="3"/>
  <c r="AD525" i="3" s="1"/>
  <c r="M525" i="3"/>
  <c r="N525" i="3" s="1"/>
  <c r="V525" i="3"/>
  <c r="A526" i="3"/>
  <c r="B526" i="3" s="1"/>
  <c r="L525" i="3" l="1"/>
  <c r="W525" i="3"/>
  <c r="AA526" i="3"/>
  <c r="P526" i="3"/>
  <c r="Q526" i="3" s="1"/>
  <c r="R526" i="3" s="1"/>
  <c r="S526" i="3" s="1"/>
  <c r="Z526" i="3"/>
  <c r="AC526" i="3"/>
  <c r="T526" i="3" l="1"/>
  <c r="U525" i="3"/>
  <c r="Y524" i="3"/>
  <c r="D526" i="3" l="1"/>
  <c r="G526" i="3" s="1"/>
  <c r="AH526" i="3"/>
  <c r="E526" i="3"/>
  <c r="H526" i="3" s="1"/>
  <c r="K526" i="3" s="1"/>
  <c r="AE526" i="3" s="1"/>
  <c r="AG526" i="3"/>
  <c r="F526" i="3" l="1"/>
  <c r="V526" i="3"/>
  <c r="A527" i="3"/>
  <c r="B527" i="3" s="1"/>
  <c r="I526" i="3"/>
  <c r="J526" i="3"/>
  <c r="AD526" i="3" s="1"/>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P529" i="3"/>
  <c r="Q529" i="3" s="1"/>
  <c r="R529" i="3" s="1"/>
  <c r="S529" i="3" s="1"/>
  <c r="AA529" i="3"/>
  <c r="L528" i="3" l="1"/>
  <c r="Y527" i="3" s="1"/>
  <c r="AD528" i="3"/>
  <c r="T529" i="3"/>
  <c r="AG529" i="3" l="1"/>
  <c r="U528" i="3"/>
  <c r="D529" i="3" s="1"/>
  <c r="G529" i="3" s="1"/>
  <c r="AH529" i="3"/>
  <c r="E529" i="3" l="1"/>
  <c r="H529" i="3" s="1"/>
  <c r="K529" i="3" s="1"/>
  <c r="AE529" i="3" s="1"/>
  <c r="J529" i="3"/>
  <c r="AD529" i="3" s="1"/>
  <c r="A530" i="3" l="1"/>
  <c r="B530" i="3" s="1"/>
  <c r="P530" i="3" s="1"/>
  <c r="Q530" i="3" s="1"/>
  <c r="R530" i="3" s="1"/>
  <c r="S530" i="3" s="1"/>
  <c r="V529" i="3"/>
  <c r="M529" i="3"/>
  <c r="N529" i="3" s="1"/>
  <c r="I529" i="3"/>
  <c r="F529" i="3"/>
  <c r="L529" i="3"/>
  <c r="AC530" i="3" l="1"/>
  <c r="Z530" i="3"/>
  <c r="AA530" i="3"/>
  <c r="W529" i="3"/>
  <c r="T530" i="3"/>
  <c r="U529" i="3"/>
  <c r="Y528" i="3"/>
  <c r="AG530" i="3" l="1"/>
  <c r="D530" i="3"/>
  <c r="G530" i="3" s="1"/>
  <c r="AH530" i="3"/>
  <c r="E530" i="3"/>
  <c r="H530" i="3" s="1"/>
  <c r="F530" i="3" l="1"/>
  <c r="I530" i="3"/>
  <c r="J530" i="3"/>
  <c r="AD530" i="3" s="1"/>
  <c r="M530" i="3"/>
  <c r="N530" i="3" s="1"/>
  <c r="K530" i="3"/>
  <c r="AE530" i="3" s="1"/>
  <c r="V530" i="3" l="1"/>
  <c r="W530" i="3" s="1"/>
  <c r="A531" i="3"/>
  <c r="B531" i="3" s="1"/>
  <c r="L530" i="3"/>
  <c r="U530" i="3" l="1"/>
  <c r="Y529" i="3"/>
  <c r="Z531" i="3"/>
  <c r="AC531" i="3"/>
  <c r="AA531" i="3"/>
  <c r="P531" i="3"/>
  <c r="Q531" i="3" s="1"/>
  <c r="R531" i="3" s="1"/>
  <c r="S531" i="3" s="1"/>
  <c r="T531" i="3" l="1"/>
  <c r="AG531" i="3" s="1"/>
  <c r="AH531" i="3" l="1"/>
  <c r="D531" i="3"/>
  <c r="E531" i="3"/>
  <c r="H531" i="3" s="1"/>
  <c r="K531" i="3" l="1"/>
  <c r="AE531" i="3" s="1"/>
  <c r="F531" i="3"/>
  <c r="G531" i="3"/>
  <c r="I531" i="3" l="1"/>
  <c r="J531" i="3"/>
  <c r="AD531" i="3" s="1"/>
  <c r="M531" i="3"/>
  <c r="N531" i="3" s="1"/>
  <c r="V531" i="3"/>
  <c r="A532" i="3"/>
  <c r="B532" i="3" s="1"/>
  <c r="W531" i="3" l="1"/>
  <c r="L531"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AD532" i="3" s="1"/>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A537" i="3"/>
  <c r="U536" i="3" l="1"/>
  <c r="Y535" i="3"/>
  <c r="T537" i="3"/>
  <c r="AH537" i="3" s="1"/>
  <c r="AG537" i="3" l="1"/>
  <c r="E537" i="3"/>
  <c r="H537" i="3" s="1"/>
  <c r="D537" i="3"/>
  <c r="K537" i="3" l="1"/>
  <c r="AE537" i="3" s="1"/>
  <c r="F537" i="3"/>
  <c r="G537" i="3"/>
  <c r="I537" i="3" l="1"/>
  <c r="J537" i="3"/>
  <c r="AD537" i="3" s="1"/>
  <c r="M537" i="3"/>
  <c r="N537" i="3" s="1"/>
  <c r="V537" i="3"/>
  <c r="A538" i="3"/>
  <c r="B538" i="3" s="1"/>
  <c r="W537" i="3" l="1"/>
  <c r="L537" i="3"/>
  <c r="AA538" i="3"/>
  <c r="AC538" i="3"/>
  <c r="Z538" i="3"/>
  <c r="P538" i="3"/>
  <c r="Q538" i="3" s="1"/>
  <c r="R538" i="3" s="1"/>
  <c r="S538" i="3" s="1"/>
  <c r="T538" i="3" l="1"/>
  <c r="U537" i="3"/>
  <c r="Y536" i="3"/>
  <c r="D538" i="3" l="1"/>
  <c r="G538" i="3" s="1"/>
  <c r="AH538" i="3"/>
  <c r="AG538" i="3"/>
  <c r="E538" i="3"/>
  <c r="H538" i="3" s="1"/>
  <c r="F538" i="3" l="1"/>
  <c r="I538" i="3"/>
  <c r="J538" i="3"/>
  <c r="AD538" i="3" s="1"/>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AD542" i="3" s="1"/>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AD545" i="3" s="1"/>
  <c r="M545" i="3"/>
  <c r="N545" i="3" s="1"/>
  <c r="AC546" i="3"/>
  <c r="P546" i="3"/>
  <c r="Q546" i="3" s="1"/>
  <c r="R546" i="3" s="1"/>
  <c r="S546" i="3" s="1"/>
  <c r="Z546" i="3"/>
  <c r="AA546" i="3"/>
  <c r="T546" i="3" l="1"/>
  <c r="L545" i="3"/>
  <c r="U545" i="3" l="1"/>
  <c r="D546" i="3" s="1"/>
  <c r="AG546" i="3"/>
  <c r="AH546" i="3"/>
  <c r="Y544" i="3"/>
  <c r="E546" i="3" l="1"/>
  <c r="H546" i="3" s="1"/>
  <c r="K546" i="3" s="1"/>
  <c r="AE546" i="3" s="1"/>
  <c r="G546" i="3"/>
  <c r="F546" i="3" l="1"/>
  <c r="V546" i="3"/>
  <c r="A547" i="3"/>
  <c r="B547" i="3" s="1"/>
  <c r="I546" i="3"/>
  <c r="J546" i="3"/>
  <c r="AD546" i="3" s="1"/>
  <c r="M546" i="3"/>
  <c r="N546" i="3" s="1"/>
  <c r="W546" i="3" l="1"/>
  <c r="L546" i="3"/>
  <c r="AC547" i="3"/>
  <c r="P547" i="3"/>
  <c r="Q547" i="3" s="1"/>
  <c r="R547" i="3" s="1"/>
  <c r="S547" i="3" s="1"/>
  <c r="AA547" i="3"/>
  <c r="Z547" i="3"/>
  <c r="U546" i="3" l="1"/>
  <c r="Y545" i="3"/>
  <c r="T547" i="3"/>
  <c r="AG547" i="3" s="1"/>
  <c r="E547" i="3" l="1"/>
  <c r="H547" i="3" s="1"/>
  <c r="K547" i="3" s="1"/>
  <c r="AE547" i="3" s="1"/>
  <c r="D547" i="3"/>
  <c r="G547" i="3" s="1"/>
  <c r="AH547" i="3"/>
  <c r="F547" i="3" l="1"/>
  <c r="I547" i="3"/>
  <c r="J547" i="3"/>
  <c r="AD547" i="3" s="1"/>
  <c r="M547" i="3"/>
  <c r="N547" i="3" s="1"/>
  <c r="V547" i="3"/>
  <c r="A548" i="3"/>
  <c r="B548" i="3" s="1"/>
  <c r="W547" i="3" l="1"/>
  <c r="L547" i="3"/>
  <c r="Z548" i="3"/>
  <c r="AA548" i="3"/>
  <c r="P548" i="3"/>
  <c r="Q548" i="3" s="1"/>
  <c r="R548" i="3" s="1"/>
  <c r="S548" i="3" s="1"/>
  <c r="AC548" i="3"/>
  <c r="U547" i="3" l="1"/>
  <c r="Y546" i="3"/>
  <c r="T548" i="3"/>
  <c r="E548" i="3" l="1"/>
  <c r="H548" i="3" s="1"/>
  <c r="K548" i="3" s="1"/>
  <c r="AE548" i="3" s="1"/>
  <c r="D548" i="3"/>
  <c r="AG548" i="3"/>
  <c r="AH548" i="3"/>
  <c r="V548" i="3" l="1"/>
  <c r="A549" i="3"/>
  <c r="B549" i="3" s="1"/>
  <c r="F548" i="3"/>
  <c r="G548" i="3"/>
  <c r="I548" i="3" l="1"/>
  <c r="W548" i="3" s="1"/>
  <c r="J548" i="3"/>
  <c r="AD548" i="3" s="1"/>
  <c r="M548" i="3"/>
  <c r="N548" i="3" s="1"/>
  <c r="P549" i="3"/>
  <c r="Q549" i="3" s="1"/>
  <c r="R549" i="3" s="1"/>
  <c r="S549" i="3" s="1"/>
  <c r="AC549" i="3"/>
  <c r="AA549" i="3"/>
  <c r="Z549" i="3"/>
  <c r="T549" i="3" l="1"/>
  <c r="L548" i="3"/>
  <c r="AH549" i="3" l="1"/>
  <c r="U548" i="3"/>
  <c r="E549" i="3" s="1"/>
  <c r="H549" i="3" s="1"/>
  <c r="AG549" i="3"/>
  <c r="Y547" i="3"/>
  <c r="K549" i="3" l="1"/>
  <c r="AE549" i="3" s="1"/>
  <c r="D549" i="3"/>
  <c r="V549" i="3" l="1"/>
  <c r="A550" i="3"/>
  <c r="B550" i="3" s="1"/>
  <c r="F549" i="3"/>
  <c r="G549" i="3"/>
  <c r="I549" i="3" l="1"/>
  <c r="W549" i="3" s="1"/>
  <c r="J549" i="3"/>
  <c r="AD549" i="3" s="1"/>
  <c r="M549" i="3"/>
  <c r="N549" i="3" s="1"/>
  <c r="P550" i="3"/>
  <c r="Q550" i="3" s="1"/>
  <c r="R550" i="3" s="1"/>
  <c r="S550" i="3" s="1"/>
  <c r="AA550" i="3"/>
  <c r="AC550" i="3"/>
  <c r="Z550" i="3"/>
  <c r="T550" i="3" l="1"/>
  <c r="L549" i="3"/>
  <c r="U549" i="3" l="1"/>
  <c r="D550" i="3" s="1"/>
  <c r="AH550" i="3"/>
  <c r="AG550" i="3"/>
  <c r="Y548" i="3"/>
  <c r="E550" i="3" l="1"/>
  <c r="H550" i="3" s="1"/>
  <c r="K550" i="3" s="1"/>
  <c r="AE550" i="3" s="1"/>
  <c r="G550" i="3"/>
  <c r="F550" i="3" l="1"/>
  <c r="I550" i="3"/>
  <c r="J550" i="3"/>
  <c r="AD550" i="3" s="1"/>
  <c r="M550" i="3"/>
  <c r="N550" i="3" s="1"/>
  <c r="V550" i="3"/>
  <c r="A551" i="3"/>
  <c r="B551" i="3" s="1"/>
  <c r="W550" i="3" l="1"/>
  <c r="L550" i="3"/>
  <c r="P551" i="3"/>
  <c r="Q551" i="3" s="1"/>
  <c r="R551" i="3" s="1"/>
  <c r="S551" i="3" s="1"/>
  <c r="AC551" i="3"/>
  <c r="AA551" i="3"/>
  <c r="Z551" i="3"/>
  <c r="T551" i="3" l="1"/>
  <c r="AG551" i="3" s="1"/>
  <c r="U550" i="3"/>
  <c r="Y549" i="3"/>
  <c r="D551" i="3" l="1"/>
  <c r="G551" i="3" s="1"/>
  <c r="AH551" i="3"/>
  <c r="E551" i="3"/>
  <c r="H551" i="3" s="1"/>
  <c r="F551" i="3" l="1"/>
  <c r="I551" i="3"/>
  <c r="J551" i="3"/>
  <c r="AD551" i="3" s="1"/>
  <c r="M551" i="3"/>
  <c r="N551" i="3" s="1"/>
  <c r="K551" i="3"/>
  <c r="AE551" i="3" s="1"/>
  <c r="V551" i="3" l="1"/>
  <c r="W551" i="3" s="1"/>
  <c r="A552" i="3"/>
  <c r="B552" i="3" s="1"/>
  <c r="L551" i="3"/>
  <c r="U551" i="3" l="1"/>
  <c r="Y550" i="3"/>
  <c r="AA552" i="3"/>
  <c r="P552" i="3"/>
  <c r="Q552" i="3" s="1"/>
  <c r="R552" i="3" s="1"/>
  <c r="S552" i="3" s="1"/>
  <c r="AC552" i="3"/>
  <c r="Z552" i="3"/>
  <c r="T552" i="3" l="1"/>
  <c r="D552" i="3" s="1"/>
  <c r="AG552" i="3" l="1"/>
  <c r="AH552" i="3"/>
  <c r="E552" i="3"/>
  <c r="H552" i="3" s="1"/>
  <c r="K552" i="3" s="1"/>
  <c r="AE552" i="3" s="1"/>
  <c r="G552" i="3"/>
  <c r="F552" i="3" l="1"/>
  <c r="I552" i="3"/>
  <c r="J552" i="3"/>
  <c r="AD552" i="3" s="1"/>
  <c r="M552" i="3"/>
  <c r="N552" i="3" s="1"/>
  <c r="V552" i="3"/>
  <c r="A553" i="3"/>
  <c r="B553" i="3" s="1"/>
  <c r="W552" i="3" l="1"/>
  <c r="L552" i="3"/>
  <c r="P553" i="3"/>
  <c r="Q553" i="3" s="1"/>
  <c r="R553" i="3" s="1"/>
  <c r="S553" i="3" s="1"/>
  <c r="Z553" i="3"/>
  <c r="AC553" i="3"/>
  <c r="AA553" i="3"/>
  <c r="T553" i="3" l="1"/>
  <c r="U552" i="3"/>
  <c r="Y551" i="3"/>
  <c r="D553" i="3" l="1"/>
  <c r="G553" i="3" s="1"/>
  <c r="AH553" i="3"/>
  <c r="AG553" i="3"/>
  <c r="E553" i="3"/>
  <c r="H553" i="3" s="1"/>
  <c r="K553" i="3" l="1"/>
  <c r="AE553" i="3" s="1"/>
  <c r="F553" i="3"/>
  <c r="I553" i="3"/>
  <c r="J553" i="3"/>
  <c r="AD553" i="3" s="1"/>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L554" i="3" l="1"/>
  <c r="T555" i="3"/>
  <c r="U554" i="3" l="1"/>
  <c r="E555" i="3" s="1"/>
  <c r="H555" i="3" s="1"/>
  <c r="AG555" i="3"/>
  <c r="AH555" i="3"/>
  <c r="Y553" i="3"/>
  <c r="K555" i="3" l="1"/>
  <c r="AE555" i="3" s="1"/>
  <c r="D555" i="3"/>
  <c r="F555" i="3" l="1"/>
  <c r="G555" i="3"/>
  <c r="V555" i="3"/>
  <c r="A556" i="3"/>
  <c r="B556" i="3" s="1"/>
  <c r="P556" i="3" l="1"/>
  <c r="Q556" i="3" s="1"/>
  <c r="R556" i="3" s="1"/>
  <c r="S556" i="3" s="1"/>
  <c r="AA556" i="3"/>
  <c r="Z556" i="3"/>
  <c r="AC556" i="3"/>
  <c r="I555" i="3"/>
  <c r="W555" i="3" s="1"/>
  <c r="J555" i="3"/>
  <c r="AD555" i="3" s="1"/>
  <c r="M555" i="3"/>
  <c r="N555" i="3" s="1"/>
  <c r="T556" i="3" l="1"/>
  <c r="L555" i="3"/>
  <c r="AH556" i="3" l="1"/>
  <c r="U555" i="3"/>
  <c r="D556" i="3" s="1"/>
  <c r="AG556" i="3"/>
  <c r="Y554" i="3"/>
  <c r="E556" i="3" l="1"/>
  <c r="H556" i="3" s="1"/>
  <c r="K556" i="3" s="1"/>
  <c r="AE556" i="3" s="1"/>
  <c r="G556" i="3"/>
  <c r="F556" i="3" l="1"/>
  <c r="I556" i="3"/>
  <c r="J556" i="3"/>
  <c r="AD556" i="3" s="1"/>
  <c r="M556" i="3"/>
  <c r="N556" i="3" s="1"/>
  <c r="V556" i="3"/>
  <c r="A557" i="3"/>
  <c r="B557" i="3" s="1"/>
  <c r="W556" i="3" l="1"/>
  <c r="L556" i="3"/>
  <c r="P557" i="3"/>
  <c r="Q557" i="3" s="1"/>
  <c r="R557" i="3" s="1"/>
  <c r="S557" i="3" s="1"/>
  <c r="AA557" i="3"/>
  <c r="AC557" i="3"/>
  <c r="Z557" i="3"/>
  <c r="U556" i="3" l="1"/>
  <c r="Y555" i="3"/>
  <c r="T557" i="3"/>
  <c r="AH557" i="3" s="1"/>
  <c r="D557" i="3" l="1"/>
  <c r="G557" i="3" s="1"/>
  <c r="AG557" i="3"/>
  <c r="E557" i="3"/>
  <c r="H557" i="3" s="1"/>
  <c r="K557" i="3" s="1"/>
  <c r="AE557" i="3" s="1"/>
  <c r="F557" i="3" l="1"/>
  <c r="I557" i="3"/>
  <c r="J557" i="3"/>
  <c r="AD557" i="3" s="1"/>
  <c r="M557" i="3"/>
  <c r="N557" i="3" s="1"/>
  <c r="V557" i="3"/>
  <c r="A558" i="3"/>
  <c r="B558" i="3" s="1"/>
  <c r="W557" i="3" l="1"/>
  <c r="L557" i="3"/>
  <c r="AA558" i="3"/>
  <c r="P558" i="3"/>
  <c r="Q558" i="3" s="1"/>
  <c r="R558" i="3" s="1"/>
  <c r="S558" i="3" s="1"/>
  <c r="Z558" i="3"/>
  <c r="AC558" i="3"/>
  <c r="T558" i="3" l="1"/>
  <c r="AG558" i="3" s="1"/>
  <c r="U557" i="3"/>
  <c r="Y556" i="3"/>
  <c r="E558" i="3" l="1"/>
  <c r="H558" i="3" s="1"/>
  <c r="AH558" i="3"/>
  <c r="D558" i="3"/>
  <c r="F558" i="3" l="1"/>
  <c r="G558" i="3"/>
  <c r="K558" i="3"/>
  <c r="AE558" i="3" s="1"/>
  <c r="I558" i="3" l="1"/>
  <c r="J558" i="3"/>
  <c r="AD558" i="3" s="1"/>
  <c r="M558" i="3"/>
  <c r="N558" i="3" s="1"/>
  <c r="V558" i="3"/>
  <c r="A559" i="3"/>
  <c r="B559" i="3" s="1"/>
  <c r="W558" i="3" l="1"/>
  <c r="L558" i="3"/>
  <c r="AC559" i="3"/>
  <c r="P559" i="3"/>
  <c r="Q559" i="3" s="1"/>
  <c r="R559" i="3" s="1"/>
  <c r="S559" i="3" s="1"/>
  <c r="AA559" i="3"/>
  <c r="Z559" i="3"/>
  <c r="T559" i="3" l="1"/>
  <c r="U558" i="3"/>
  <c r="Y557" i="3"/>
  <c r="E559" i="3" l="1"/>
  <c r="H559" i="3" s="1"/>
  <c r="K559" i="3" s="1"/>
  <c r="AE559" i="3" s="1"/>
  <c r="AH559" i="3"/>
  <c r="AG559" i="3"/>
  <c r="D559" i="3"/>
  <c r="V559" i="3" l="1"/>
  <c r="A560" i="3"/>
  <c r="B560" i="3" s="1"/>
  <c r="F559" i="3"/>
  <c r="G559" i="3"/>
  <c r="I559" i="3" l="1"/>
  <c r="W559" i="3" s="1"/>
  <c r="J559" i="3"/>
  <c r="AD559" i="3" s="1"/>
  <c r="M559" i="3"/>
  <c r="N559" i="3" s="1"/>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AD560" i="3" s="1"/>
  <c r="M560" i="3"/>
  <c r="N560" i="3" s="1"/>
  <c r="W560" i="3" l="1"/>
  <c r="L560" i="3"/>
  <c r="AA561" i="3"/>
  <c r="P561" i="3"/>
  <c r="Q561" i="3" s="1"/>
  <c r="R561" i="3" s="1"/>
  <c r="S561" i="3" s="1"/>
  <c r="Z561" i="3"/>
  <c r="AC561" i="3"/>
  <c r="U560" i="3" l="1"/>
  <c r="Y559" i="3"/>
  <c r="T561" i="3"/>
  <c r="E561" i="3" l="1"/>
  <c r="H561" i="3" s="1"/>
  <c r="K561" i="3" s="1"/>
  <c r="AE561" i="3" s="1"/>
  <c r="D561" i="3"/>
  <c r="AH561" i="3"/>
  <c r="AG561" i="3"/>
  <c r="F561" i="3" l="1"/>
  <c r="G561" i="3"/>
  <c r="M561" i="3" s="1"/>
  <c r="N561" i="3" s="1"/>
  <c r="V561" i="3"/>
  <c r="A562" i="3"/>
  <c r="B562" i="3" s="1"/>
  <c r="I561" i="3" l="1"/>
  <c r="W561" i="3" s="1"/>
  <c r="J561" i="3"/>
  <c r="Z562" i="3"/>
  <c r="AA562" i="3"/>
  <c r="P562" i="3"/>
  <c r="Q562" i="3" s="1"/>
  <c r="R562" i="3" s="1"/>
  <c r="S562" i="3" s="1"/>
  <c r="AC562" i="3"/>
  <c r="L561" i="3" l="1"/>
  <c r="U561" i="3" s="1"/>
  <c r="AD561" i="3"/>
  <c r="T562" i="3"/>
  <c r="AH562" i="3" l="1"/>
  <c r="Y560" i="3"/>
  <c r="AG562" i="3"/>
  <c r="E562" i="3"/>
  <c r="H562" i="3" s="1"/>
  <c r="K562" i="3" s="1"/>
  <c r="AE562" i="3" s="1"/>
  <c r="D562" i="3"/>
  <c r="F562" i="3" l="1"/>
  <c r="G562" i="3"/>
  <c r="J562" i="3" s="1"/>
  <c r="AD562" i="3" s="1"/>
  <c r="V562" i="3"/>
  <c r="A563" i="3"/>
  <c r="B563" i="3" s="1"/>
  <c r="M562" i="3" l="1"/>
  <c r="N562" i="3" s="1"/>
  <c r="I562" i="3"/>
  <c r="W562" i="3" s="1"/>
  <c r="L562" i="3"/>
  <c r="Z563" i="3"/>
  <c r="P563" i="3"/>
  <c r="Q563" i="3" s="1"/>
  <c r="R563" i="3" s="1"/>
  <c r="S563" i="3" s="1"/>
  <c r="AC563" i="3"/>
  <c r="AA563" i="3"/>
  <c r="U562" i="3" l="1"/>
  <c r="Y561" i="3"/>
  <c r="T563" i="3"/>
  <c r="AH563" i="3" s="1"/>
  <c r="AG563" i="3" l="1"/>
  <c r="D563" i="3"/>
  <c r="E563" i="3"/>
  <c r="H563" i="3" s="1"/>
  <c r="K563" i="3" s="1"/>
  <c r="AE563" i="3" s="1"/>
  <c r="F563" i="3" l="1"/>
  <c r="G563" i="3"/>
  <c r="M563" i="3" s="1"/>
  <c r="N563" i="3" s="1"/>
  <c r="V563" i="3"/>
  <c r="A564" i="3"/>
  <c r="B564" i="3" s="1"/>
  <c r="I563" i="3" l="1"/>
  <c r="W563" i="3" s="1"/>
  <c r="J563" i="3"/>
  <c r="Z564" i="3"/>
  <c r="P564" i="3"/>
  <c r="Q564" i="3" s="1"/>
  <c r="R564" i="3" s="1"/>
  <c r="S564" i="3" s="1"/>
  <c r="AC564" i="3"/>
  <c r="AA564" i="3"/>
  <c r="L563" i="3" l="1"/>
  <c r="U563" i="3" s="1"/>
  <c r="AD563" i="3"/>
  <c r="T564" i="3"/>
  <c r="AH564" i="3" l="1"/>
  <c r="Y562" i="3"/>
  <c r="D564" i="3"/>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U564" i="3" l="1"/>
  <c r="Y563" i="3"/>
  <c r="T565" i="3"/>
  <c r="E565" i="3" l="1"/>
  <c r="H565" i="3" s="1"/>
  <c r="K565" i="3" s="1"/>
  <c r="AE565" i="3" s="1"/>
  <c r="D565" i="3"/>
  <c r="AG565" i="3"/>
  <c r="AH565" i="3"/>
  <c r="V565" i="3" l="1"/>
  <c r="A566" i="3"/>
  <c r="B566" i="3" s="1"/>
  <c r="F565" i="3"/>
  <c r="G565" i="3"/>
  <c r="I565" i="3" l="1"/>
  <c r="W565" i="3" s="1"/>
  <c r="J565" i="3"/>
  <c r="AD565" i="3" s="1"/>
  <c r="M565" i="3"/>
  <c r="N565" i="3" s="1"/>
  <c r="Z566" i="3"/>
  <c r="AA566" i="3"/>
  <c r="P566" i="3"/>
  <c r="Q566" i="3" s="1"/>
  <c r="R566" i="3" s="1"/>
  <c r="S566" i="3" s="1"/>
  <c r="AC566" i="3"/>
  <c r="L565" i="3" l="1"/>
  <c r="T566" i="3"/>
  <c r="AG566" i="3" l="1"/>
  <c r="AH566" i="3"/>
  <c r="U565" i="3"/>
  <c r="D566" i="3" s="1"/>
  <c r="Y564" i="3"/>
  <c r="G566" i="3" l="1"/>
  <c r="E566" i="3"/>
  <c r="H566" i="3" s="1"/>
  <c r="F566" i="3" l="1"/>
  <c r="I566" i="3"/>
  <c r="J566" i="3"/>
  <c r="AD566" i="3" s="1"/>
  <c r="M566" i="3"/>
  <c r="N566" i="3" s="1"/>
  <c r="K566" i="3"/>
  <c r="AE566" i="3" s="1"/>
  <c r="V566" i="3" l="1"/>
  <c r="W566" i="3" s="1"/>
  <c r="A567" i="3"/>
  <c r="B567" i="3" s="1"/>
  <c r="L566" i="3"/>
  <c r="U566" i="3" l="1"/>
  <c r="Y565" i="3"/>
  <c r="P567" i="3"/>
  <c r="Q567" i="3" s="1"/>
  <c r="R567" i="3" s="1"/>
  <c r="S567" i="3" s="1"/>
  <c r="AA567" i="3"/>
  <c r="Z567" i="3"/>
  <c r="AC567" i="3"/>
  <c r="T567" i="3" l="1"/>
  <c r="AG567" i="3" s="1"/>
  <c r="AH567" i="3" l="1"/>
  <c r="E567" i="3"/>
  <c r="H567" i="3" s="1"/>
  <c r="K567" i="3" s="1"/>
  <c r="AE567" i="3" s="1"/>
  <c r="D567" i="3"/>
  <c r="G567" i="3" s="1"/>
  <c r="F567" i="3" l="1"/>
  <c r="I567" i="3"/>
  <c r="J567" i="3"/>
  <c r="AD567" i="3" s="1"/>
  <c r="M567" i="3"/>
  <c r="N567" i="3" s="1"/>
  <c r="V567" i="3"/>
  <c r="A568" i="3"/>
  <c r="B568" i="3" s="1"/>
  <c r="W567" i="3" l="1"/>
  <c r="L567" i="3"/>
  <c r="AC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AD568" i="3" s="1"/>
  <c r="M568" i="3"/>
  <c r="N568" i="3" s="1"/>
  <c r="L568" i="3" l="1"/>
  <c r="W568" i="3"/>
  <c r="AA569" i="3"/>
  <c r="P569" i="3"/>
  <c r="Q569" i="3" s="1"/>
  <c r="R569" i="3" s="1"/>
  <c r="S569" i="3" s="1"/>
  <c r="AC569" i="3"/>
  <c r="Z569" i="3"/>
  <c r="T569" i="3" l="1"/>
  <c r="AH569" i="3" s="1"/>
  <c r="U568" i="3"/>
  <c r="Y567" i="3"/>
  <c r="D569" i="3" l="1"/>
  <c r="G569" i="3" s="1"/>
  <c r="AG569" i="3"/>
  <c r="E569" i="3"/>
  <c r="H569" i="3" s="1"/>
  <c r="F569" i="3" l="1"/>
  <c r="I569" i="3"/>
  <c r="J569" i="3"/>
  <c r="AD569" i="3" s="1"/>
  <c r="M569" i="3"/>
  <c r="N569" i="3" s="1"/>
  <c r="K569" i="3"/>
  <c r="AE569" i="3" s="1"/>
  <c r="L569" i="3" l="1"/>
  <c r="V569" i="3"/>
  <c r="W569" i="3" s="1"/>
  <c r="A570" i="3"/>
  <c r="B570" i="3" s="1"/>
  <c r="AC570" i="3" l="1"/>
  <c r="P570" i="3"/>
  <c r="Q570" i="3" s="1"/>
  <c r="R570" i="3" s="1"/>
  <c r="S570" i="3" s="1"/>
  <c r="Z570" i="3"/>
  <c r="AA570" i="3"/>
  <c r="U569" i="3"/>
  <c r="Y568" i="3"/>
  <c r="T570" i="3" l="1"/>
  <c r="D570" i="3" l="1"/>
  <c r="E570" i="3"/>
  <c r="H570" i="3" s="1"/>
  <c r="AG570" i="3"/>
  <c r="AH570" i="3"/>
  <c r="F570" i="3" l="1"/>
  <c r="G570" i="3"/>
  <c r="K570" i="3"/>
  <c r="AE570" i="3" s="1"/>
  <c r="V570" i="3" l="1"/>
  <c r="A571" i="3"/>
  <c r="B571" i="3" s="1"/>
  <c r="I570" i="3"/>
  <c r="J570" i="3"/>
  <c r="AD570" i="3" s="1"/>
  <c r="M570" i="3"/>
  <c r="N570" i="3" s="1"/>
  <c r="W570" i="3" l="1"/>
  <c r="L570" i="3"/>
  <c r="P571" i="3"/>
  <c r="Q571" i="3" s="1"/>
  <c r="R571" i="3" s="1"/>
  <c r="S571" i="3" s="1"/>
  <c r="AA571" i="3"/>
  <c r="Z571" i="3"/>
  <c r="AC571" i="3"/>
  <c r="U570" i="3" l="1"/>
  <c r="Y569" i="3"/>
  <c r="T571" i="3"/>
  <c r="D571" i="3" l="1"/>
  <c r="G571" i="3" s="1"/>
  <c r="AG571" i="3"/>
  <c r="AH571" i="3"/>
  <c r="E571" i="3"/>
  <c r="H571" i="3" s="1"/>
  <c r="K571" i="3" s="1"/>
  <c r="AE571" i="3" s="1"/>
  <c r="F571" i="3" l="1"/>
  <c r="V571" i="3"/>
  <c r="A572" i="3"/>
  <c r="B572" i="3" s="1"/>
  <c r="I571" i="3"/>
  <c r="J571" i="3"/>
  <c r="AD571" i="3" s="1"/>
  <c r="M571" i="3"/>
  <c r="N571" i="3" s="1"/>
  <c r="W571" i="3" l="1"/>
  <c r="L571" i="3"/>
  <c r="AC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AD572" i="3" s="1"/>
  <c r="M572" i="3"/>
  <c r="N572" i="3" s="1"/>
  <c r="W572" i="3" l="1"/>
  <c r="L572" i="3"/>
  <c r="P573" i="3"/>
  <c r="Q573" i="3" s="1"/>
  <c r="R573" i="3" s="1"/>
  <c r="S573" i="3" s="1"/>
  <c r="Z573" i="3"/>
  <c r="AC573" i="3"/>
  <c r="AA573" i="3"/>
  <c r="U572" i="3" l="1"/>
  <c r="Y571" i="3"/>
  <c r="T573" i="3"/>
  <c r="E573" i="3" l="1"/>
  <c r="H573" i="3" s="1"/>
  <c r="K573" i="3" s="1"/>
  <c r="AE573" i="3" s="1"/>
  <c r="D573" i="3"/>
  <c r="AH573" i="3"/>
  <c r="AG573" i="3"/>
  <c r="F573" i="3" l="1"/>
  <c r="G573" i="3"/>
  <c r="I573" i="3" s="1"/>
  <c r="V573" i="3"/>
  <c r="A574" i="3"/>
  <c r="B574" i="3" s="1"/>
  <c r="J573" i="3" l="1"/>
  <c r="M573" i="3"/>
  <c r="N573" i="3" s="1"/>
  <c r="W573" i="3"/>
  <c r="AA574" i="3"/>
  <c r="Z574" i="3"/>
  <c r="P574" i="3"/>
  <c r="Q574" i="3" s="1"/>
  <c r="R574" i="3" s="1"/>
  <c r="S574" i="3" s="1"/>
  <c r="AC574" i="3"/>
  <c r="L573" i="3" l="1"/>
  <c r="U573" i="3" s="1"/>
  <c r="AD573" i="3"/>
  <c r="T574" i="3"/>
  <c r="AH574" i="3" l="1"/>
  <c r="Y572" i="3"/>
  <c r="D574" i="3"/>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T575" i="3" l="1"/>
  <c r="AH575" i="3" s="1"/>
  <c r="AG575" i="3" l="1"/>
  <c r="E575" i="3"/>
  <c r="H575" i="3" s="1"/>
  <c r="D575" i="3"/>
  <c r="K575" i="3" l="1"/>
  <c r="AE575" i="3" s="1"/>
  <c r="F575" i="3"/>
  <c r="G575" i="3"/>
  <c r="V575" i="3" l="1"/>
  <c r="A576" i="3"/>
  <c r="B576" i="3" s="1"/>
  <c r="I575" i="3"/>
  <c r="J575" i="3"/>
  <c r="AD575" i="3" s="1"/>
  <c r="M575" i="3"/>
  <c r="N575" i="3" s="1"/>
  <c r="W575" i="3" l="1"/>
  <c r="L575" i="3"/>
  <c r="AA576" i="3"/>
  <c r="P576" i="3"/>
  <c r="Q576" i="3" s="1"/>
  <c r="R576" i="3" s="1"/>
  <c r="S576" i="3" s="1"/>
  <c r="Z576" i="3"/>
  <c r="AC576" i="3"/>
  <c r="U575" i="3" l="1"/>
  <c r="Y574" i="3"/>
  <c r="T576" i="3"/>
  <c r="E576" i="3" l="1"/>
  <c r="H576" i="3" s="1"/>
  <c r="K576" i="3" s="1"/>
  <c r="AE576" i="3" s="1"/>
  <c r="AH576" i="3"/>
  <c r="D576" i="3"/>
  <c r="G576" i="3" s="1"/>
  <c r="AG576" i="3"/>
  <c r="F576" i="3" l="1"/>
  <c r="V576" i="3"/>
  <c r="A577" i="3"/>
  <c r="B577" i="3" s="1"/>
  <c r="I576" i="3"/>
  <c r="J576" i="3"/>
  <c r="AD576" i="3" s="1"/>
  <c r="M576" i="3"/>
  <c r="N576" i="3" s="1"/>
  <c r="W576" i="3" l="1"/>
  <c r="L576" i="3"/>
  <c r="P577" i="3"/>
  <c r="Q577" i="3" s="1"/>
  <c r="R577" i="3" s="1"/>
  <c r="S577" i="3" s="1"/>
  <c r="AC577" i="3"/>
  <c r="AA577" i="3"/>
  <c r="Z577" i="3"/>
  <c r="U576" i="3" l="1"/>
  <c r="Y575" i="3"/>
  <c r="T577" i="3"/>
  <c r="AH577" i="3" s="1"/>
  <c r="E577" i="3" l="1"/>
  <c r="H577" i="3" s="1"/>
  <c r="K577" i="3" s="1"/>
  <c r="AE577" i="3" s="1"/>
  <c r="AG577" i="3"/>
  <c r="D577" i="3"/>
  <c r="F577" i="3" l="1"/>
  <c r="G577" i="3"/>
  <c r="J577" i="3" s="1"/>
  <c r="AD577" i="3" s="1"/>
  <c r="V577" i="3"/>
  <c r="A578" i="3"/>
  <c r="B578" i="3" s="1"/>
  <c r="M577" i="3" l="1"/>
  <c r="N577" i="3" s="1"/>
  <c r="I577" i="3"/>
  <c r="W577" i="3" s="1"/>
  <c r="L577" i="3"/>
  <c r="AC578" i="3"/>
  <c r="P578" i="3"/>
  <c r="Q578" i="3" s="1"/>
  <c r="R578" i="3" s="1"/>
  <c r="S578" i="3" s="1"/>
  <c r="Z578" i="3"/>
  <c r="AA578" i="3"/>
  <c r="U577" i="3" l="1"/>
  <c r="Y576" i="3"/>
  <c r="T578" i="3"/>
  <c r="AG578" i="3" s="1"/>
  <c r="D578" i="3" l="1"/>
  <c r="G578" i="3" s="1"/>
  <c r="AH578" i="3"/>
  <c r="E578" i="3"/>
  <c r="H578" i="3" s="1"/>
  <c r="K578" i="3" s="1"/>
  <c r="AE578" i="3" s="1"/>
  <c r="F578" i="3" l="1"/>
  <c r="I578" i="3"/>
  <c r="J578" i="3"/>
  <c r="AD578" i="3" s="1"/>
  <c r="M578" i="3"/>
  <c r="N578" i="3" s="1"/>
  <c r="V578" i="3"/>
  <c r="A579" i="3"/>
  <c r="B579" i="3" s="1"/>
  <c r="W578" i="3" l="1"/>
  <c r="L578" i="3"/>
  <c r="AC579" i="3"/>
  <c r="Z579" i="3"/>
  <c r="P579" i="3"/>
  <c r="Q579" i="3" s="1"/>
  <c r="R579" i="3" s="1"/>
  <c r="S579" i="3" s="1"/>
  <c r="AA579" i="3"/>
  <c r="U578" i="3" l="1"/>
  <c r="Y577" i="3"/>
  <c r="T579" i="3"/>
  <c r="AG579" i="3" s="1"/>
  <c r="E579" i="3" l="1"/>
  <c r="H579" i="3" s="1"/>
  <c r="K579" i="3" s="1"/>
  <c r="AE579" i="3" s="1"/>
  <c r="AH579" i="3"/>
  <c r="D579" i="3"/>
  <c r="F579" i="3" l="1"/>
  <c r="G579" i="3"/>
  <c r="M579" i="3" s="1"/>
  <c r="N579" i="3" s="1"/>
  <c r="V579" i="3"/>
  <c r="A580" i="3"/>
  <c r="B580" i="3" s="1"/>
  <c r="I579" i="3" l="1"/>
  <c r="W579" i="3" s="1"/>
  <c r="J579" i="3"/>
  <c r="P580" i="3"/>
  <c r="Q580" i="3" s="1"/>
  <c r="R580" i="3" s="1"/>
  <c r="S580" i="3" s="1"/>
  <c r="AA580" i="3"/>
  <c r="AC580" i="3"/>
  <c r="Z580" i="3"/>
  <c r="L579" i="3" l="1"/>
  <c r="Y578" i="3" s="1"/>
  <c r="AD579" i="3"/>
  <c r="T580" i="3"/>
  <c r="AH580" i="3" l="1"/>
  <c r="U579" i="3"/>
  <c r="E580" i="3" s="1"/>
  <c r="H580" i="3" s="1"/>
  <c r="AG580" i="3"/>
  <c r="D580" i="3" l="1"/>
  <c r="G580" i="3" s="1"/>
  <c r="K580" i="3"/>
  <c r="AE580" i="3" s="1"/>
  <c r="F580" i="3" l="1"/>
  <c r="I580" i="3"/>
  <c r="J580" i="3"/>
  <c r="AD580" i="3" s="1"/>
  <c r="M580" i="3"/>
  <c r="N580" i="3" s="1"/>
  <c r="V580" i="3"/>
  <c r="A581" i="3"/>
  <c r="B581" i="3" s="1"/>
  <c r="W580" i="3" l="1"/>
  <c r="P581" i="3"/>
  <c r="Q581" i="3" s="1"/>
  <c r="R581" i="3" s="1"/>
  <c r="S581" i="3" s="1"/>
  <c r="Z581" i="3"/>
  <c r="AA581" i="3"/>
  <c r="AC581" i="3"/>
  <c r="L580" i="3"/>
  <c r="T581" i="3" l="1"/>
  <c r="AH581" i="3" s="1"/>
  <c r="U580" i="3"/>
  <c r="Y579" i="3"/>
  <c r="D581" i="3" l="1"/>
  <c r="G581" i="3" s="1"/>
  <c r="AG581" i="3"/>
  <c r="E581" i="3"/>
  <c r="H581" i="3" s="1"/>
  <c r="I581" i="3" l="1"/>
  <c r="J581" i="3"/>
  <c r="AD581" i="3" s="1"/>
  <c r="M581" i="3"/>
  <c r="N581" i="3" s="1"/>
  <c r="F581" i="3"/>
  <c r="K581" i="3"/>
  <c r="AE581" i="3" s="1"/>
  <c r="L581" i="3" l="1"/>
  <c r="V581" i="3"/>
  <c r="W581" i="3" s="1"/>
  <c r="A582" i="3"/>
  <c r="B582" i="3" s="1"/>
  <c r="P582" i="3" l="1"/>
  <c r="Q582" i="3" s="1"/>
  <c r="R582" i="3" s="1"/>
  <c r="S582" i="3" s="1"/>
  <c r="Z582" i="3"/>
  <c r="AC582" i="3"/>
  <c r="AA582" i="3"/>
  <c r="U581" i="3"/>
  <c r="Y580" i="3"/>
  <c r="T582" i="3" l="1"/>
  <c r="AH582" i="3" s="1"/>
  <c r="E582" i="3" l="1"/>
  <c r="H582" i="3" s="1"/>
  <c r="K582" i="3" s="1"/>
  <c r="AE582" i="3" s="1"/>
  <c r="AG582" i="3"/>
  <c r="D582" i="3"/>
  <c r="V582" i="3" l="1"/>
  <c r="A583" i="3"/>
  <c r="B583" i="3" s="1"/>
  <c r="F582" i="3"/>
  <c r="G582" i="3"/>
  <c r="I582" i="3" l="1"/>
  <c r="W582" i="3" s="1"/>
  <c r="J582" i="3"/>
  <c r="AD582" i="3" s="1"/>
  <c r="M582" i="3"/>
  <c r="N582" i="3" s="1"/>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AD583" i="3" s="1"/>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AD587" i="3" s="1"/>
  <c r="M587" i="3"/>
  <c r="N587" i="3" s="1"/>
  <c r="L587" i="3" l="1"/>
  <c r="V587" i="3"/>
  <c r="W587" i="3" s="1"/>
  <c r="A588" i="3"/>
  <c r="B588" i="3" s="1"/>
  <c r="U587" i="3" l="1"/>
  <c r="Y586" i="3"/>
  <c r="P588" i="3"/>
  <c r="Q588" i="3" s="1"/>
  <c r="R588" i="3" s="1"/>
  <c r="S588" i="3" s="1"/>
  <c r="Z588" i="3"/>
  <c r="AC588" i="3"/>
  <c r="AA588" i="3"/>
  <c r="T588" i="3" l="1"/>
  <c r="AH588" i="3" s="1"/>
  <c r="E588" i="3" l="1"/>
  <c r="H588" i="3" s="1"/>
  <c r="K588" i="3" s="1"/>
  <c r="AE588" i="3" s="1"/>
  <c r="AG588" i="3"/>
  <c r="D588" i="3"/>
  <c r="G588" i="3" s="1"/>
  <c r="F588" i="3" l="1"/>
  <c r="I588" i="3"/>
  <c r="J588" i="3"/>
  <c r="AD588" i="3" s="1"/>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P592" i="3"/>
  <c r="Q592" i="3" s="1"/>
  <c r="R592" i="3" s="1"/>
  <c r="S592" i="3" s="1"/>
  <c r="U591" i="3" l="1"/>
  <c r="Y590" i="3"/>
  <c r="T592" i="3"/>
  <c r="D592" i="3" l="1"/>
  <c r="G592" i="3" s="1"/>
  <c r="AH592" i="3"/>
  <c r="AG592" i="3"/>
  <c r="E592" i="3"/>
  <c r="H592" i="3" s="1"/>
  <c r="K592" i="3" s="1"/>
  <c r="AE592" i="3" s="1"/>
  <c r="F592" i="3" l="1"/>
  <c r="I592" i="3"/>
  <c r="J592" i="3"/>
  <c r="AD592" i="3" s="1"/>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T595" i="3" l="1"/>
  <c r="L594" i="3"/>
  <c r="AH595" i="3" l="1"/>
  <c r="U594" i="3"/>
  <c r="E595" i="3" s="1"/>
  <c r="H595" i="3" s="1"/>
  <c r="AG595" i="3"/>
  <c r="Y593" i="3"/>
  <c r="D595" i="3" l="1"/>
  <c r="G595" i="3" s="1"/>
  <c r="K595" i="3"/>
  <c r="AE595" i="3" s="1"/>
  <c r="F595" i="3" l="1"/>
  <c r="V595" i="3"/>
  <c r="A596" i="3"/>
  <c r="B596" i="3" s="1"/>
  <c r="I595" i="3"/>
  <c r="J595" i="3"/>
  <c r="AD595" i="3" s="1"/>
  <c r="M595" i="3"/>
  <c r="N595" i="3" s="1"/>
  <c r="W595" i="3" l="1"/>
  <c r="L595" i="3"/>
  <c r="P596" i="3"/>
  <c r="Q596" i="3" s="1"/>
  <c r="R596" i="3" s="1"/>
  <c r="S596" i="3" s="1"/>
  <c r="AA596" i="3"/>
  <c r="AC596" i="3"/>
  <c r="Z596" i="3"/>
  <c r="T596" i="3" l="1"/>
  <c r="AG596" i="3" s="1"/>
  <c r="U595" i="3"/>
  <c r="Y594" i="3"/>
  <c r="D596" i="3" l="1"/>
  <c r="E596" i="3"/>
  <c r="H596" i="3" s="1"/>
  <c r="AH596" i="3"/>
  <c r="F596" i="3" l="1"/>
  <c r="G596" i="3"/>
  <c r="K596" i="3"/>
  <c r="AE596" i="3" s="1"/>
  <c r="V596" i="3" l="1"/>
  <c r="A597" i="3"/>
  <c r="B597" i="3" s="1"/>
  <c r="I596" i="3"/>
  <c r="J596" i="3"/>
  <c r="AD596" i="3" s="1"/>
  <c r="M596" i="3"/>
  <c r="N596" i="3" s="1"/>
  <c r="W596" i="3" l="1"/>
  <c r="L596" i="3"/>
  <c r="Z597" i="3"/>
  <c r="P597" i="3"/>
  <c r="Q597" i="3" s="1"/>
  <c r="R597" i="3" s="1"/>
  <c r="S597" i="3" s="1"/>
  <c r="AA597" i="3"/>
  <c r="AC597" i="3"/>
  <c r="U596" i="3" l="1"/>
  <c r="Y595" i="3"/>
  <c r="T597" i="3"/>
  <c r="E597" i="3" l="1"/>
  <c r="H597" i="3" s="1"/>
  <c r="K597" i="3" s="1"/>
  <c r="AE597" i="3" s="1"/>
  <c r="AH597" i="3"/>
  <c r="AG597" i="3"/>
  <c r="D597" i="3"/>
  <c r="G597" i="3" s="1"/>
  <c r="F597" i="3" l="1"/>
  <c r="I597" i="3"/>
  <c r="J597" i="3"/>
  <c r="AD597" i="3" s="1"/>
  <c r="M597" i="3"/>
  <c r="N597" i="3" s="1"/>
  <c r="V597" i="3"/>
  <c r="A598" i="3"/>
  <c r="B598" i="3" s="1"/>
  <c r="W597" i="3" l="1"/>
  <c r="L597" i="3"/>
  <c r="AC598" i="3"/>
  <c r="P598" i="3"/>
  <c r="Q598" i="3" s="1"/>
  <c r="R598" i="3" s="1"/>
  <c r="S598" i="3" s="1"/>
  <c r="Z598" i="3"/>
  <c r="AA598" i="3"/>
  <c r="U597" i="3" l="1"/>
  <c r="Y596" i="3"/>
  <c r="T598" i="3"/>
  <c r="AG598" i="3" s="1"/>
  <c r="AH598" i="3" l="1"/>
  <c r="E598" i="3"/>
  <c r="H598" i="3" s="1"/>
  <c r="K598" i="3" s="1"/>
  <c r="AE598" i="3" s="1"/>
  <c r="D598" i="3"/>
  <c r="V598" i="3" l="1"/>
  <c r="A599" i="3"/>
  <c r="B599" i="3" s="1"/>
  <c r="F598" i="3"/>
  <c r="G598" i="3"/>
  <c r="I598" i="3" l="1"/>
  <c r="W598" i="3" s="1"/>
  <c r="J598" i="3"/>
  <c r="AD598" i="3" s="1"/>
  <c r="M598" i="3"/>
  <c r="N598" i="3" s="1"/>
  <c r="AC599" i="3"/>
  <c r="AA599" i="3"/>
  <c r="P599" i="3"/>
  <c r="Q599" i="3" s="1"/>
  <c r="R599" i="3" s="1"/>
  <c r="S599" i="3" s="1"/>
  <c r="Z599" i="3"/>
  <c r="T599" i="3" l="1"/>
  <c r="L598" i="3"/>
  <c r="U598" i="3" l="1"/>
  <c r="D599" i="3" s="1"/>
  <c r="AG599" i="3"/>
  <c r="AH599" i="3"/>
  <c r="Y597" i="3"/>
  <c r="G599" i="3" l="1"/>
  <c r="E599" i="3"/>
  <c r="H599" i="3" s="1"/>
  <c r="I599" i="3" l="1"/>
  <c r="J599" i="3"/>
  <c r="AD599" i="3" s="1"/>
  <c r="M599" i="3"/>
  <c r="N599" i="3" s="1"/>
  <c r="K599" i="3"/>
  <c r="AE599" i="3" s="1"/>
  <c r="F599" i="3"/>
  <c r="V599" i="3" l="1"/>
  <c r="W599" i="3" s="1"/>
  <c r="A600" i="3"/>
  <c r="B600" i="3" s="1"/>
  <c r="L599" i="3"/>
  <c r="U599" i="3" l="1"/>
  <c r="Y598" i="3"/>
  <c r="AC600" i="3"/>
  <c r="P600" i="3"/>
  <c r="Q600" i="3" s="1"/>
  <c r="R600" i="3" s="1"/>
  <c r="S600" i="3" s="1"/>
  <c r="Z600" i="3"/>
  <c r="AA600" i="3"/>
  <c r="T600" i="3" l="1"/>
  <c r="E600" i="3" s="1"/>
  <c r="H600" i="3" s="1"/>
  <c r="AH600" i="3" l="1"/>
  <c r="K600" i="3"/>
  <c r="AE600" i="3" s="1"/>
  <c r="AG600" i="3"/>
  <c r="D600" i="3"/>
  <c r="V600" i="3" l="1"/>
  <c r="A601" i="3"/>
  <c r="B601" i="3" s="1"/>
  <c r="F600" i="3"/>
  <c r="G600" i="3"/>
  <c r="I600" i="3" l="1"/>
  <c r="W600" i="3" s="1"/>
  <c r="J600" i="3"/>
  <c r="AD600" i="3" s="1"/>
  <c r="M600" i="3"/>
  <c r="N600" i="3" s="1"/>
  <c r="P601" i="3"/>
  <c r="Q601" i="3" s="1"/>
  <c r="R601" i="3" s="1"/>
  <c r="S601" i="3" s="1"/>
  <c r="AA601" i="3"/>
  <c r="AC601" i="3"/>
  <c r="Z601" i="3"/>
  <c r="T601" i="3" l="1"/>
  <c r="L600" i="3"/>
  <c r="AH601" i="3" l="1"/>
  <c r="U600" i="3"/>
  <c r="D601" i="3" s="1"/>
  <c r="AG601" i="3"/>
  <c r="Y599" i="3"/>
  <c r="E601" i="3" l="1"/>
  <c r="H601" i="3" s="1"/>
  <c r="K601" i="3" s="1"/>
  <c r="AE601" i="3" s="1"/>
  <c r="G601" i="3"/>
  <c r="F601" i="3" l="1"/>
  <c r="I601" i="3"/>
  <c r="J601" i="3"/>
  <c r="AD601" i="3" s="1"/>
  <c r="M601" i="3"/>
  <c r="N601" i="3" s="1"/>
  <c r="V601" i="3"/>
  <c r="A602" i="3"/>
  <c r="B602" i="3" s="1"/>
  <c r="W601" i="3" l="1"/>
  <c r="L601" i="3"/>
  <c r="P602" i="3"/>
  <c r="Q602" i="3" s="1"/>
  <c r="R602" i="3" s="1"/>
  <c r="S602" i="3" s="1"/>
  <c r="Z602" i="3"/>
  <c r="AC602" i="3"/>
  <c r="AA602" i="3"/>
  <c r="U601" i="3" l="1"/>
  <c r="Y600" i="3"/>
  <c r="T602" i="3"/>
  <c r="AG602" i="3" s="1"/>
  <c r="D602" i="3" l="1"/>
  <c r="E602" i="3"/>
  <c r="H602" i="3" s="1"/>
  <c r="AH602" i="3"/>
  <c r="K602" i="3" l="1"/>
  <c r="AE602" i="3" s="1"/>
  <c r="F602" i="3"/>
  <c r="G602" i="3"/>
  <c r="I602" i="3" l="1"/>
  <c r="J602" i="3"/>
  <c r="AD602" i="3" s="1"/>
  <c r="M602" i="3"/>
  <c r="N602" i="3" s="1"/>
  <c r="V602" i="3"/>
  <c r="A603" i="3"/>
  <c r="B603" i="3" s="1"/>
  <c r="W602" i="3" l="1"/>
  <c r="L602" i="3"/>
  <c r="AA603" i="3"/>
  <c r="AC603" i="3"/>
  <c r="Z603" i="3"/>
  <c r="P603" i="3"/>
  <c r="Q603" i="3" s="1"/>
  <c r="R603" i="3" s="1"/>
  <c r="S603" i="3" s="1"/>
  <c r="U602" i="3" l="1"/>
  <c r="Y601" i="3"/>
  <c r="T603" i="3"/>
  <c r="AG603" i="3" s="1"/>
  <c r="AH603" i="3" l="1"/>
  <c r="D603" i="3"/>
  <c r="G603" i="3" s="1"/>
  <c r="E603" i="3"/>
  <c r="H603" i="3" s="1"/>
  <c r="K603" i="3" s="1"/>
  <c r="AE603" i="3" s="1"/>
  <c r="F603" i="3" l="1"/>
  <c r="I603" i="3"/>
  <c r="J603" i="3"/>
  <c r="AD603" i="3" s="1"/>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AD607" i="3" s="1"/>
  <c r="M607" i="3"/>
  <c r="N607" i="3" s="1"/>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AD608" i="3" s="1"/>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C612" i="3"/>
  <c r="AA612" i="3"/>
  <c r="T612" i="3" l="1"/>
  <c r="L611" i="3"/>
  <c r="U611" i="3" l="1"/>
  <c r="E612" i="3" s="1"/>
  <c r="H612" i="3" s="1"/>
  <c r="AH612" i="3"/>
  <c r="AG612" i="3"/>
  <c r="Y610" i="3"/>
  <c r="D612" i="3" l="1"/>
  <c r="G612" i="3" s="1"/>
  <c r="K612" i="3"/>
  <c r="AE612" i="3" s="1"/>
  <c r="F612" i="3" l="1"/>
  <c r="V612" i="3"/>
  <c r="A613" i="3"/>
  <c r="B613" i="3" s="1"/>
  <c r="I612" i="3"/>
  <c r="J612" i="3"/>
  <c r="AD612" i="3" s="1"/>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P617" i="3"/>
  <c r="Q617" i="3" s="1"/>
  <c r="R617" i="3" s="1"/>
  <c r="S617" i="3" s="1"/>
  <c r="AA617" i="3"/>
  <c r="U616" i="3" l="1"/>
  <c r="Y615" i="3"/>
  <c r="T617" i="3"/>
  <c r="AG617" i="3" s="1"/>
  <c r="D617" i="3" l="1"/>
  <c r="G617" i="3" s="1"/>
  <c r="E617" i="3"/>
  <c r="H617" i="3" s="1"/>
  <c r="K617" i="3" s="1"/>
  <c r="AE617" i="3" s="1"/>
  <c r="AH617" i="3"/>
  <c r="F617" i="3" l="1"/>
  <c r="I617" i="3"/>
  <c r="J617" i="3"/>
  <c r="AD617" i="3" s="1"/>
  <c r="M617" i="3"/>
  <c r="N617" i="3" s="1"/>
  <c r="V617" i="3"/>
  <c r="A618" i="3"/>
  <c r="B618" i="3" s="1"/>
  <c r="W617" i="3" l="1"/>
  <c r="L617" i="3"/>
  <c r="P618" i="3"/>
  <c r="Q618" i="3" s="1"/>
  <c r="R618" i="3" s="1"/>
  <c r="S618" i="3" s="1"/>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AD618" i="3" s="1"/>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T622" i="3" l="1"/>
  <c r="AG622" i="3" s="1"/>
  <c r="D622" i="3" l="1"/>
  <c r="E622" i="3"/>
  <c r="H622" i="3" s="1"/>
  <c r="K622" i="3" s="1"/>
  <c r="AE622" i="3" s="1"/>
  <c r="AH622" i="3"/>
  <c r="F622" i="3" l="1"/>
  <c r="G622" i="3"/>
  <c r="I622" i="3" s="1"/>
  <c r="V622" i="3"/>
  <c r="A623" i="3"/>
  <c r="B623" i="3" s="1"/>
  <c r="M622" i="3" l="1"/>
  <c r="N622" i="3" s="1"/>
  <c r="J622" i="3"/>
  <c r="W622" i="3"/>
  <c r="P623" i="3"/>
  <c r="Q623" i="3" s="1"/>
  <c r="R623" i="3" s="1"/>
  <c r="S623" i="3" s="1"/>
  <c r="Z623" i="3"/>
  <c r="AD623" i="3"/>
  <c r="AA623" i="3"/>
  <c r="AC623" i="3"/>
  <c r="L622" i="3" l="1"/>
  <c r="AD622" i="3"/>
  <c r="U622" i="3"/>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P627" i="3"/>
  <c r="Q627" i="3" s="1"/>
  <c r="R627" i="3" s="1"/>
  <c r="S627" i="3" s="1"/>
  <c r="AC627" i="3"/>
  <c r="AA627" i="3"/>
  <c r="L626" i="3" l="1"/>
  <c r="T627" i="3"/>
  <c r="AG627" i="3" l="1"/>
  <c r="U626" i="3"/>
  <c r="D627" i="3" s="1"/>
  <c r="AH627" i="3"/>
  <c r="Y625" i="3"/>
  <c r="G627" i="3" l="1"/>
  <c r="E627" i="3"/>
  <c r="H627" i="3" s="1"/>
  <c r="K627" i="3" l="1"/>
  <c r="AE627" i="3" s="1"/>
  <c r="I627" i="3"/>
  <c r="J627" i="3"/>
  <c r="AD627" i="3" s="1"/>
  <c r="M627" i="3"/>
  <c r="N627" i="3" s="1"/>
  <c r="F627" i="3"/>
  <c r="L627" i="3" l="1"/>
  <c r="V627" i="3"/>
  <c r="W627" i="3" s="1"/>
  <c r="A628" i="3"/>
  <c r="B628" i="3" s="1"/>
  <c r="Z628" i="3" l="1"/>
  <c r="AA628" i="3"/>
  <c r="P628" i="3"/>
  <c r="Q628" i="3" s="1"/>
  <c r="R628" i="3" s="1"/>
  <c r="S628" i="3" s="1"/>
  <c r="AC628" i="3"/>
  <c r="U627" i="3"/>
  <c r="Y626" i="3"/>
  <c r="T628" i="3" l="1"/>
  <c r="D628" i="3" l="1"/>
  <c r="E628" i="3"/>
  <c r="H628" i="3" s="1"/>
  <c r="AG628" i="3"/>
  <c r="AH628" i="3"/>
  <c r="F628" i="3" l="1"/>
  <c r="G628" i="3"/>
  <c r="K628" i="3"/>
  <c r="AE628" i="3" s="1"/>
  <c r="I628" i="3" l="1"/>
  <c r="J628" i="3"/>
  <c r="AD628" i="3" s="1"/>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T632" i="3" l="1"/>
  <c r="U631" i="3"/>
  <c r="Y630" i="3"/>
  <c r="D632" i="3" l="1"/>
  <c r="G632" i="3" s="1"/>
  <c r="E632" i="3"/>
  <c r="H632" i="3" s="1"/>
  <c r="K632" i="3" s="1"/>
  <c r="AE632" i="3" s="1"/>
  <c r="AG632" i="3"/>
  <c r="AH632" i="3"/>
  <c r="F632" i="3" l="1"/>
  <c r="I632" i="3"/>
  <c r="J632" i="3"/>
  <c r="AD632" i="3" s="1"/>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A637" i="3"/>
  <c r="U636" i="3" l="1"/>
  <c r="Y635" i="3"/>
  <c r="T637" i="3"/>
  <c r="AG637" i="3" s="1"/>
  <c r="D637" i="3" l="1"/>
  <c r="AH637" i="3"/>
  <c r="E637" i="3"/>
  <c r="H637" i="3" s="1"/>
  <c r="F637" i="3" l="1"/>
  <c r="G637" i="3"/>
  <c r="K637" i="3"/>
  <c r="AE637" i="3" s="1"/>
  <c r="I637" i="3" l="1"/>
  <c r="J637" i="3"/>
  <c r="AD637" i="3" s="1"/>
  <c r="M637" i="3"/>
  <c r="N637" i="3" s="1"/>
  <c r="V637" i="3"/>
  <c r="A638" i="3"/>
  <c r="B638" i="3" s="1"/>
  <c r="W637" i="3" l="1"/>
  <c r="L637" i="3"/>
  <c r="P638" i="3"/>
  <c r="Q638" i="3" s="1"/>
  <c r="R638" i="3" s="1"/>
  <c r="S638" i="3" s="1"/>
  <c r="AC638" i="3"/>
  <c r="AA638" i="3"/>
  <c r="Z638" i="3"/>
  <c r="T638" i="3" l="1"/>
  <c r="AG638" i="3" s="1"/>
  <c r="U637" i="3"/>
  <c r="Y636" i="3"/>
  <c r="D638" i="3" l="1"/>
  <c r="G638" i="3" s="1"/>
  <c r="E638" i="3"/>
  <c r="H638" i="3" s="1"/>
  <c r="AH638" i="3"/>
  <c r="F638" i="3" l="1"/>
  <c r="I638" i="3"/>
  <c r="J638" i="3"/>
  <c r="AD638" i="3" s="1"/>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P642" i="3"/>
  <c r="Q642" i="3" s="1"/>
  <c r="R642" i="3" s="1"/>
  <c r="S642" i="3" s="1"/>
  <c r="AC642" i="3"/>
  <c r="AA642" i="3"/>
  <c r="T642" i="3" l="1"/>
  <c r="L641" i="3"/>
  <c r="U641" i="3" l="1"/>
  <c r="D642" i="3" s="1"/>
  <c r="AG642" i="3"/>
  <c r="AH642" i="3"/>
  <c r="Y640" i="3"/>
  <c r="E642" i="3" l="1"/>
  <c r="H642" i="3" s="1"/>
  <c r="K642" i="3" s="1"/>
  <c r="AE642" i="3" s="1"/>
  <c r="G642" i="3"/>
  <c r="F642" i="3" l="1"/>
  <c r="I642" i="3"/>
  <c r="J642" i="3"/>
  <c r="AD642" i="3" s="1"/>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Z647" i="3"/>
  <c r="U646" i="3" l="1"/>
  <c r="Y645" i="3"/>
  <c r="T647" i="3"/>
  <c r="AG647" i="3" s="1"/>
  <c r="E647" i="3" l="1"/>
  <c r="H647" i="3" s="1"/>
  <c r="D647" i="3"/>
  <c r="AH647" i="3"/>
  <c r="F647" i="3" l="1"/>
  <c r="G647" i="3"/>
  <c r="K647" i="3"/>
  <c r="AE647" i="3" s="1"/>
  <c r="V647" i="3" l="1"/>
  <c r="A648" i="3"/>
  <c r="B648" i="3" s="1"/>
  <c r="I647" i="3"/>
  <c r="J647" i="3"/>
  <c r="AD647" i="3" s="1"/>
  <c r="M647" i="3"/>
  <c r="N647" i="3" s="1"/>
  <c r="W647" i="3" l="1"/>
  <c r="L647" i="3"/>
  <c r="AC648" i="3"/>
  <c r="AA648" i="3"/>
  <c r="P648" i="3"/>
  <c r="Q648" i="3" s="1"/>
  <c r="R648" i="3" s="1"/>
  <c r="S648" i="3" s="1"/>
  <c r="Z648" i="3"/>
  <c r="T648" i="3" l="1"/>
  <c r="AH648" i="3" s="1"/>
  <c r="U647" i="3"/>
  <c r="Y646" i="3"/>
  <c r="D648" i="3" l="1"/>
  <c r="AG648" i="3"/>
  <c r="E648" i="3"/>
  <c r="H648" i="3" s="1"/>
  <c r="F648" i="3" l="1"/>
  <c r="G648" i="3"/>
  <c r="K648" i="3"/>
  <c r="AE648" i="3" s="1"/>
  <c r="I648" i="3" l="1"/>
  <c r="J648" i="3"/>
  <c r="AD648" i="3" s="1"/>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U651" i="3" l="1"/>
  <c r="Y650" i="3"/>
  <c r="T652" i="3"/>
  <c r="E652" i="3" l="1"/>
  <c r="H652" i="3" s="1"/>
  <c r="K652" i="3" s="1"/>
  <c r="AE652" i="3" s="1"/>
  <c r="AH652" i="3"/>
  <c r="AG652" i="3"/>
  <c r="D652" i="3"/>
  <c r="G652" i="3" s="1"/>
  <c r="F652" i="3" l="1"/>
  <c r="V652" i="3"/>
  <c r="A653" i="3"/>
  <c r="B653" i="3" s="1"/>
  <c r="I652" i="3"/>
  <c r="J652" i="3"/>
  <c r="AD652" i="3" s="1"/>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P657" i="3"/>
  <c r="Q657" i="3" s="1"/>
  <c r="R657" i="3" s="1"/>
  <c r="S657" i="3" s="1"/>
  <c r="AA657" i="3"/>
  <c r="Z657" i="3"/>
  <c r="L656" i="3" l="1"/>
  <c r="T657" i="3"/>
  <c r="AH657" i="3" l="1"/>
  <c r="U656" i="3"/>
  <c r="E657" i="3" s="1"/>
  <c r="H657" i="3" s="1"/>
  <c r="AG657" i="3"/>
  <c r="Y655" i="3"/>
  <c r="D657" i="3" l="1"/>
  <c r="G657" i="3" s="1"/>
  <c r="K657" i="3"/>
  <c r="AE657" i="3" s="1"/>
  <c r="F657" i="3" l="1"/>
  <c r="I657" i="3"/>
  <c r="J657" i="3"/>
  <c r="AD657" i="3" s="1"/>
  <c r="M657" i="3"/>
  <c r="N657" i="3" s="1"/>
  <c r="V657" i="3"/>
  <c r="A658" i="3"/>
  <c r="B658" i="3" s="1"/>
  <c r="W657" i="3" l="1"/>
  <c r="L657" i="3"/>
  <c r="AC658" i="3"/>
  <c r="Z658" i="3"/>
  <c r="AA658" i="3"/>
  <c r="P658" i="3"/>
  <c r="Q658" i="3" s="1"/>
  <c r="R658" i="3" s="1"/>
  <c r="S658" i="3" s="1"/>
  <c r="U657" i="3" l="1"/>
  <c r="Y656" i="3"/>
  <c r="T658" i="3"/>
  <c r="AG658" i="3" s="1"/>
  <c r="E658" i="3" l="1"/>
  <c r="H658" i="3" s="1"/>
  <c r="D658" i="3"/>
  <c r="AH658" i="3"/>
  <c r="K658" i="3" l="1"/>
  <c r="AE658" i="3" s="1"/>
  <c r="F658" i="3"/>
  <c r="G658" i="3"/>
  <c r="I658" i="3" l="1"/>
  <c r="J658" i="3"/>
  <c r="AD658" i="3" s="1"/>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A662" i="3"/>
  <c r="AC662" i="3"/>
  <c r="T662" i="3" l="1"/>
  <c r="L661" i="3"/>
  <c r="AH662" i="3" l="1"/>
  <c r="AG662" i="3"/>
  <c r="U661" i="3"/>
  <c r="E662" i="3" s="1"/>
  <c r="H662" i="3" s="1"/>
  <c r="Y660" i="3"/>
  <c r="D662" i="3" l="1"/>
  <c r="F662" i="3" s="1"/>
  <c r="K662" i="3"/>
  <c r="AE662" i="3" s="1"/>
  <c r="G662" i="3" l="1"/>
  <c r="I662" i="3" s="1"/>
  <c r="V662" i="3"/>
  <c r="A663" i="3"/>
  <c r="B663" i="3" s="1"/>
  <c r="J662" i="3" l="1"/>
  <c r="M662" i="3"/>
  <c r="N662" i="3" s="1"/>
  <c r="W662" i="3"/>
  <c r="AA663" i="3"/>
  <c r="Z663" i="3"/>
  <c r="P663" i="3"/>
  <c r="Q663" i="3" s="1"/>
  <c r="R663" i="3" s="1"/>
  <c r="S663" i="3" s="1"/>
  <c r="AC663" i="3"/>
  <c r="AD663" i="3"/>
  <c r="L662" i="3" l="1"/>
  <c r="AD662" i="3"/>
  <c r="U662" i="3"/>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A667" i="3"/>
  <c r="U666" i="3" l="1"/>
  <c r="Y665" i="3"/>
  <c r="T667" i="3"/>
  <c r="AG667" i="3" s="1"/>
  <c r="D667" i="3" l="1"/>
  <c r="E667" i="3"/>
  <c r="H667" i="3" s="1"/>
  <c r="AH667" i="3"/>
  <c r="F667" i="3" l="1"/>
  <c r="G667" i="3"/>
  <c r="K667" i="3"/>
  <c r="AE667" i="3" s="1"/>
  <c r="I667" i="3" l="1"/>
  <c r="J667" i="3"/>
  <c r="AD667" i="3" s="1"/>
  <c r="M667" i="3"/>
  <c r="N667" i="3" s="1"/>
  <c r="V667" i="3"/>
  <c r="A668" i="3"/>
  <c r="B668" i="3" s="1"/>
  <c r="W667" i="3" l="1"/>
  <c r="L667" i="3"/>
  <c r="Z668" i="3"/>
  <c r="P668" i="3"/>
  <c r="Q668" i="3" s="1"/>
  <c r="R668" i="3" s="1"/>
  <c r="S668" i="3" s="1"/>
  <c r="AC668" i="3"/>
  <c r="AA668" i="3"/>
  <c r="T668" i="3" l="1"/>
  <c r="AH668" i="3" s="1"/>
  <c r="U667" i="3"/>
  <c r="Y666" i="3"/>
  <c r="D668" i="3" l="1"/>
  <c r="G668" i="3" s="1"/>
  <c r="AG668" i="3"/>
  <c r="E668" i="3"/>
  <c r="H668" i="3" s="1"/>
  <c r="F668" i="3" l="1"/>
  <c r="I668" i="3"/>
  <c r="J668" i="3"/>
  <c r="AD668" i="3" s="1"/>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A675" i="3"/>
  <c r="AC675" i="3"/>
  <c r="Z675" i="3"/>
  <c r="U674" i="3" l="1"/>
  <c r="Y673" i="3"/>
  <c r="T675" i="3"/>
  <c r="AH675" i="3" s="1"/>
  <c r="AG675" i="3" l="1"/>
  <c r="D675" i="3"/>
  <c r="E675" i="3"/>
  <c r="H675" i="3" s="1"/>
  <c r="F675" i="3" l="1"/>
  <c r="G675" i="3"/>
  <c r="K675" i="3"/>
  <c r="AE675" i="3" s="1"/>
  <c r="I675" i="3" l="1"/>
  <c r="J675" i="3"/>
  <c r="AD675" i="3" s="1"/>
  <c r="M675" i="3"/>
  <c r="N675" i="3" s="1"/>
  <c r="V675" i="3"/>
  <c r="A676" i="3"/>
  <c r="B676" i="3" s="1"/>
  <c r="W675" i="3" l="1"/>
  <c r="L675" i="3"/>
  <c r="AC676" i="3"/>
  <c r="P676" i="3"/>
  <c r="Q676" i="3" s="1"/>
  <c r="R676" i="3" s="1"/>
  <c r="S676" i="3" s="1"/>
  <c r="Z676" i="3"/>
  <c r="AA676" i="3"/>
  <c r="T676" i="3" l="1"/>
  <c r="U675" i="3"/>
  <c r="Y674" i="3"/>
  <c r="E676" i="3" l="1"/>
  <c r="H676" i="3" s="1"/>
  <c r="K676" i="3" s="1"/>
  <c r="AE676" i="3" s="1"/>
  <c r="AH676" i="3"/>
  <c r="D676" i="3"/>
  <c r="G676" i="3" s="1"/>
  <c r="AG676" i="3"/>
  <c r="F676" i="3" l="1"/>
  <c r="I676" i="3"/>
  <c r="J676" i="3"/>
  <c r="AD676" i="3" s="1"/>
  <c r="M676" i="3"/>
  <c r="N676" i="3" s="1"/>
  <c r="V676" i="3"/>
  <c r="A677" i="3"/>
  <c r="B677" i="3" s="1"/>
  <c r="W676" i="3" l="1"/>
  <c r="L676" i="3"/>
  <c r="AA677" i="3"/>
  <c r="AC677" i="3"/>
  <c r="Z677" i="3"/>
  <c r="P677" i="3"/>
  <c r="Q677" i="3" s="1"/>
  <c r="R677" i="3" s="1"/>
  <c r="S677" i="3" s="1"/>
  <c r="U676" i="3" l="1"/>
  <c r="Y675" i="3"/>
  <c r="T677" i="3"/>
  <c r="AG677" i="3" s="1"/>
  <c r="D677" i="3" l="1"/>
  <c r="G677" i="3" s="1"/>
  <c r="AH677" i="3"/>
  <c r="E677" i="3"/>
  <c r="H677" i="3" s="1"/>
  <c r="F677" i="3" l="1"/>
  <c r="I677" i="3"/>
  <c r="J677" i="3"/>
  <c r="AD677" i="3" s="1"/>
  <c r="M677" i="3"/>
  <c r="N677" i="3" s="1"/>
  <c r="K677" i="3"/>
  <c r="AE677" i="3" s="1"/>
  <c r="V677" i="3" l="1"/>
  <c r="W677" i="3" s="1"/>
  <c r="A678" i="3"/>
  <c r="B678" i="3" s="1"/>
  <c r="L677" i="3"/>
  <c r="U677" i="3" l="1"/>
  <c r="Y676" i="3"/>
  <c r="P678" i="3"/>
  <c r="Q678" i="3" s="1"/>
  <c r="R678" i="3" s="1"/>
  <c r="S678" i="3" s="1"/>
  <c r="Z678" i="3"/>
  <c r="AC678" i="3"/>
  <c r="AA678" i="3"/>
  <c r="T678" i="3" l="1"/>
  <c r="AH678" i="3" s="1"/>
  <c r="E678" i="3" l="1"/>
  <c r="H678" i="3" s="1"/>
  <c r="K678" i="3" s="1"/>
  <c r="AE678" i="3" s="1"/>
  <c r="D678" i="3"/>
  <c r="AG678" i="3"/>
  <c r="F678" i="3" l="1"/>
  <c r="G678" i="3"/>
  <c r="J678" i="3" s="1"/>
  <c r="AD678" i="3" s="1"/>
  <c r="V678" i="3"/>
  <c r="A679" i="3"/>
  <c r="B679" i="3" s="1"/>
  <c r="M678" i="3" l="1"/>
  <c r="N678" i="3" s="1"/>
  <c r="I678" i="3"/>
  <c r="W678" i="3" s="1"/>
  <c r="L678" i="3"/>
  <c r="P679" i="3"/>
  <c r="Q679" i="3" s="1"/>
  <c r="R679" i="3" s="1"/>
  <c r="S679" i="3" s="1"/>
  <c r="AA679" i="3"/>
  <c r="Z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I679" i="3"/>
  <c r="W679" i="3" s="1"/>
  <c r="J679" i="3"/>
  <c r="AD679" i="3" s="1"/>
  <c r="M679" i="3"/>
  <c r="N679" i="3" s="1"/>
  <c r="L679" i="3" l="1"/>
  <c r="T680" i="3"/>
  <c r="AH680" i="3" l="1"/>
  <c r="U679" i="3"/>
  <c r="E680" i="3" s="1"/>
  <c r="H680" i="3" s="1"/>
  <c r="AG680" i="3"/>
  <c r="Y678" i="3"/>
  <c r="D680" i="3" l="1"/>
  <c r="G680" i="3" s="1"/>
  <c r="K680" i="3"/>
  <c r="AE680" i="3" s="1"/>
  <c r="F680" i="3" l="1"/>
  <c r="I680" i="3"/>
  <c r="J680" i="3"/>
  <c r="AD680" i="3" s="1"/>
  <c r="M680" i="3"/>
  <c r="N680" i="3" s="1"/>
  <c r="V680" i="3"/>
  <c r="A681" i="3"/>
  <c r="B681" i="3" s="1"/>
  <c r="W680" i="3" l="1"/>
  <c r="L680"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Z682" i="3" l="1"/>
  <c r="P682" i="3"/>
  <c r="Q682" i="3" s="1"/>
  <c r="R682" i="3" s="1"/>
  <c r="S682" i="3" s="1"/>
  <c r="AC682" i="3"/>
  <c r="AA682" i="3"/>
  <c r="I681" i="3"/>
  <c r="W681" i="3" s="1"/>
  <c r="J681" i="3"/>
  <c r="AD681" i="3" s="1"/>
  <c r="M681" i="3"/>
  <c r="N681" i="3" s="1"/>
  <c r="L681" i="3" l="1"/>
  <c r="T682" i="3"/>
  <c r="U681" i="3" l="1"/>
  <c r="E682" i="3" s="1"/>
  <c r="H682" i="3" s="1"/>
  <c r="AG682" i="3"/>
  <c r="AH682" i="3"/>
  <c r="Y680" i="3"/>
  <c r="D682" i="3" l="1"/>
  <c r="G682" i="3" s="1"/>
  <c r="K682" i="3"/>
  <c r="AE682" i="3" s="1"/>
  <c r="F682" i="3" l="1"/>
  <c r="V682" i="3"/>
  <c r="A683" i="3"/>
  <c r="B683" i="3" s="1"/>
  <c r="I682" i="3"/>
  <c r="J682" i="3"/>
  <c r="AD682" i="3" s="1"/>
  <c r="M682" i="3"/>
  <c r="N682" i="3" s="1"/>
  <c r="W682" i="3" l="1"/>
  <c r="L682" i="3"/>
  <c r="P683" i="3"/>
  <c r="Q683" i="3" s="1"/>
  <c r="R683" i="3" s="1"/>
  <c r="S683" i="3" s="1"/>
  <c r="AC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AD683" i="3" s="1"/>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A687" i="3"/>
  <c r="AC687" i="3"/>
  <c r="U686" i="3" l="1"/>
  <c r="Y685" i="3"/>
  <c r="T687" i="3"/>
  <c r="AG687" i="3" s="1"/>
  <c r="AH687" i="3" l="1"/>
  <c r="D687" i="3"/>
  <c r="G687" i="3" s="1"/>
  <c r="E687" i="3"/>
  <c r="H687" i="3" s="1"/>
  <c r="K687" i="3" s="1"/>
  <c r="AE687" i="3" s="1"/>
  <c r="F687" i="3" l="1"/>
  <c r="I687" i="3"/>
  <c r="J687" i="3"/>
  <c r="AD687" i="3" s="1"/>
  <c r="M687" i="3"/>
  <c r="N687" i="3" s="1"/>
  <c r="V687" i="3"/>
  <c r="A688" i="3"/>
  <c r="B688" i="3" s="1"/>
  <c r="W687" i="3" l="1"/>
  <c r="L687" i="3"/>
  <c r="AC688" i="3"/>
  <c r="AA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AD688" i="3" s="1"/>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AD695" i="3" s="1"/>
  <c r="M695" i="3"/>
  <c r="N695" i="3" s="1"/>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AD696" i="3" s="1"/>
  <c r="M696" i="3"/>
  <c r="N696" i="3" s="1"/>
  <c r="W696" i="3" l="1"/>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AA698" i="3"/>
  <c r="Z698" i="3"/>
  <c r="AC698" i="3"/>
  <c r="P698" i="3"/>
  <c r="Q698" i="3" s="1"/>
  <c r="R698" i="3" s="1"/>
  <c r="S698" i="3" s="1"/>
  <c r="L697" i="3" l="1"/>
  <c r="U697" i="3" s="1"/>
  <c r="AD697" i="3"/>
  <c r="T698" i="3"/>
  <c r="Y696" i="3" l="1"/>
  <c r="AG698" i="3"/>
  <c r="E698" i="3"/>
  <c r="H698" i="3" s="1"/>
  <c r="K698" i="3" s="1"/>
  <c r="AE698" i="3" s="1"/>
  <c r="AH698" i="3"/>
  <c r="D698" i="3"/>
  <c r="F698" i="3" l="1"/>
  <c r="G698" i="3"/>
  <c r="J698" i="3" s="1"/>
  <c r="AD698" i="3" s="1"/>
  <c r="V698" i="3"/>
  <c r="A699" i="3"/>
  <c r="B699" i="3" s="1"/>
  <c r="M698" i="3" l="1"/>
  <c r="N698" i="3" s="1"/>
  <c r="I698" i="3"/>
  <c r="W698" i="3" s="1"/>
  <c r="L698" i="3"/>
  <c r="Z699" i="3"/>
  <c r="P699" i="3"/>
  <c r="Q699" i="3" s="1"/>
  <c r="R699" i="3" s="1"/>
  <c r="S699" i="3" s="1"/>
  <c r="AA699" i="3"/>
  <c r="AC699" i="3"/>
  <c r="T699" i="3" l="1"/>
  <c r="U698" i="3"/>
  <c r="Y697" i="3"/>
  <c r="D699" i="3" l="1"/>
  <c r="G699" i="3" s="1"/>
  <c r="AG699" i="3"/>
  <c r="AH699" i="3"/>
  <c r="E699" i="3"/>
  <c r="H699" i="3" s="1"/>
  <c r="K699" i="3" l="1"/>
  <c r="AE699" i="3" s="1"/>
  <c r="I699" i="3"/>
  <c r="J699" i="3"/>
  <c r="AD699" i="3" s="1"/>
  <c r="M699" i="3"/>
  <c r="N699" i="3" s="1"/>
  <c r="F699" i="3"/>
  <c r="L699" i="3" l="1"/>
  <c r="V699" i="3"/>
  <c r="W699" i="3" s="1"/>
  <c r="A700" i="3"/>
  <c r="B700" i="3" s="1"/>
  <c r="U699" i="3" l="1"/>
  <c r="Y698" i="3"/>
  <c r="Z700" i="3"/>
  <c r="P700" i="3"/>
  <c r="Q700" i="3" s="1"/>
  <c r="R700" i="3" s="1"/>
  <c r="S700" i="3" s="1"/>
  <c r="AC700" i="3"/>
  <c r="AA700" i="3"/>
  <c r="T700" i="3" l="1"/>
  <c r="D700" i="3" s="1"/>
  <c r="AH700" i="3" l="1"/>
  <c r="AG700" i="3"/>
  <c r="E700" i="3"/>
  <c r="H700" i="3" s="1"/>
  <c r="K700" i="3" s="1"/>
  <c r="AE700" i="3" s="1"/>
  <c r="G700" i="3"/>
  <c r="F700" i="3" l="1"/>
  <c r="I700" i="3"/>
  <c r="J700" i="3"/>
  <c r="AD700" i="3" s="1"/>
  <c r="M700" i="3"/>
  <c r="N700" i="3" s="1"/>
  <c r="V700" i="3"/>
  <c r="A701" i="3"/>
  <c r="B701" i="3" s="1"/>
  <c r="W700" i="3" l="1"/>
  <c r="L700" i="3"/>
  <c r="AC701" i="3"/>
  <c r="AA701" i="3"/>
  <c r="Z701" i="3"/>
  <c r="P701" i="3"/>
  <c r="Q701" i="3" s="1"/>
  <c r="R701" i="3" s="1"/>
  <c r="S701" i="3" s="1"/>
  <c r="U700" i="3" l="1"/>
  <c r="Y699" i="3"/>
  <c r="T701" i="3"/>
  <c r="AG701" i="3" s="1"/>
  <c r="AH701" i="3" l="1"/>
  <c r="E701" i="3"/>
  <c r="H701" i="3" s="1"/>
  <c r="D701" i="3"/>
  <c r="F701" i="3" l="1"/>
  <c r="G701" i="3"/>
  <c r="K701" i="3"/>
  <c r="AE701" i="3" s="1"/>
  <c r="I701" i="3" l="1"/>
  <c r="J701" i="3"/>
  <c r="AD701" i="3" s="1"/>
  <c r="M701" i="3"/>
  <c r="N701" i="3" s="1"/>
  <c r="V701" i="3"/>
  <c r="A702" i="3"/>
  <c r="B702" i="3" s="1"/>
  <c r="W701" i="3" l="1"/>
  <c r="L701" i="3"/>
  <c r="AC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AD702" i="3" s="1"/>
  <c r="M702" i="3"/>
  <c r="N702" i="3" s="1"/>
  <c r="W702" i="3" l="1"/>
  <c r="L702" i="3"/>
  <c r="AC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AD703" i="3" s="1"/>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AD707" i="3" s="1"/>
  <c r="M707" i="3"/>
  <c r="N707" i="3" s="1"/>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AD708" i="3" s="1"/>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Z717" i="3"/>
  <c r="AA717" i="3"/>
  <c r="U716" i="3" l="1"/>
  <c r="Y715" i="3"/>
  <c r="T717" i="3"/>
  <c r="AG717" i="3" s="1"/>
  <c r="E717" i="3" l="1"/>
  <c r="H717" i="3" s="1"/>
  <c r="K717" i="3" s="1"/>
  <c r="AE717" i="3" s="1"/>
  <c r="AH717" i="3"/>
  <c r="D717" i="3"/>
  <c r="V717" i="3" l="1"/>
  <c r="A718" i="3"/>
  <c r="B718" i="3" s="1"/>
  <c r="F717" i="3"/>
  <c r="G717" i="3"/>
  <c r="I717" i="3" l="1"/>
  <c r="W717" i="3" s="1"/>
  <c r="J717" i="3"/>
  <c r="AD717" i="3" s="1"/>
  <c r="M717" i="3"/>
  <c r="N717" i="3" s="1"/>
  <c r="P718" i="3"/>
  <c r="Q718" i="3" s="1"/>
  <c r="R718" i="3" s="1"/>
  <c r="S718" i="3" s="1"/>
  <c r="AC718" i="3"/>
  <c r="Z718" i="3"/>
  <c r="AA718" i="3"/>
  <c r="L717" i="3" l="1"/>
  <c r="T718" i="3"/>
  <c r="U717" i="3" l="1"/>
  <c r="E718" i="3" s="1"/>
  <c r="H718" i="3" s="1"/>
  <c r="AH718" i="3"/>
  <c r="AG718" i="3"/>
  <c r="Y716" i="3"/>
  <c r="K718" i="3" l="1"/>
  <c r="AE718" i="3" s="1"/>
  <c r="D718" i="3"/>
  <c r="V718" i="3" l="1"/>
  <c r="A719" i="3"/>
  <c r="B719" i="3" s="1"/>
  <c r="F718" i="3"/>
  <c r="G718" i="3"/>
  <c r="I718" i="3" l="1"/>
  <c r="W718" i="3" s="1"/>
  <c r="J718" i="3"/>
  <c r="AD718" i="3" s="1"/>
  <c r="M718" i="3"/>
  <c r="N718" i="3" s="1"/>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AD719" i="3" s="1"/>
  <c r="M719" i="3"/>
  <c r="N719" i="3" s="1"/>
  <c r="V719" i="3"/>
  <c r="A720" i="3"/>
  <c r="B720" i="3" s="1"/>
  <c r="W719" i="3" l="1"/>
  <c r="L719" i="3"/>
  <c r="P720" i="3"/>
  <c r="Q720" i="3" s="1"/>
  <c r="R720" i="3" s="1"/>
  <c r="S720" i="3" s="1"/>
  <c r="AA720" i="3"/>
  <c r="AC720" i="3"/>
  <c r="Z720" i="3"/>
  <c r="U719" i="3" l="1"/>
  <c r="Y718" i="3"/>
  <c r="T720" i="3"/>
  <c r="AG720" i="3" s="1"/>
  <c r="E720" i="3" l="1"/>
  <c r="H720" i="3" s="1"/>
  <c r="K720" i="3" s="1"/>
  <c r="AE720" i="3" s="1"/>
  <c r="D720" i="3"/>
  <c r="AH720" i="3"/>
  <c r="V720" i="3" l="1"/>
  <c r="A721" i="3"/>
  <c r="B721" i="3" s="1"/>
  <c r="F720" i="3"/>
  <c r="G720" i="3"/>
  <c r="I720" i="3" l="1"/>
  <c r="W720" i="3" s="1"/>
  <c r="J720" i="3"/>
  <c r="AD720" i="3" s="1"/>
  <c r="M720" i="3"/>
  <c r="N720" i="3" s="1"/>
  <c r="AA721" i="3"/>
  <c r="Z721" i="3"/>
  <c r="AC721" i="3"/>
  <c r="P721" i="3"/>
  <c r="Q721" i="3" s="1"/>
  <c r="R721" i="3" s="1"/>
  <c r="S721" i="3" s="1"/>
  <c r="T721" i="3" l="1"/>
  <c r="L720" i="3"/>
  <c r="AG721" i="3" l="1"/>
  <c r="U720" i="3"/>
  <c r="D721" i="3" s="1"/>
  <c r="AH721" i="3"/>
  <c r="Y719" i="3"/>
  <c r="G721" i="3" l="1"/>
  <c r="E721" i="3"/>
  <c r="H721" i="3" s="1"/>
  <c r="F721" i="3" l="1"/>
  <c r="I721" i="3"/>
  <c r="J721" i="3"/>
  <c r="AD721" i="3" s="1"/>
  <c r="M721" i="3"/>
  <c r="N721" i="3" s="1"/>
  <c r="K721" i="3"/>
  <c r="AE721" i="3" s="1"/>
  <c r="V721" i="3" l="1"/>
  <c r="W721" i="3" s="1"/>
  <c r="A722" i="3"/>
  <c r="B722" i="3" s="1"/>
  <c r="L721" i="3"/>
  <c r="U721" i="3" l="1"/>
  <c r="Y720" i="3"/>
  <c r="AA722" i="3"/>
  <c r="AC722" i="3"/>
  <c r="P722" i="3"/>
  <c r="Q722" i="3" s="1"/>
  <c r="R722" i="3" s="1"/>
  <c r="S722" i="3" s="1"/>
  <c r="Z722" i="3"/>
  <c r="T722" i="3" l="1"/>
  <c r="AH722" i="3" s="1"/>
  <c r="E722" i="3" l="1"/>
  <c r="H722" i="3" s="1"/>
  <c r="K722" i="3" s="1"/>
  <c r="AE722" i="3" s="1"/>
  <c r="D722" i="3"/>
  <c r="AG722" i="3"/>
  <c r="V722" i="3" l="1"/>
  <c r="A723" i="3"/>
  <c r="B723" i="3" s="1"/>
  <c r="F722" i="3"/>
  <c r="G722" i="3"/>
  <c r="I722" i="3" l="1"/>
  <c r="W722" i="3" s="1"/>
  <c r="J722" i="3"/>
  <c r="AD722" i="3" s="1"/>
  <c r="M722" i="3"/>
  <c r="N722" i="3" s="1"/>
  <c r="Z723" i="3"/>
  <c r="AA723" i="3"/>
  <c r="AC723" i="3"/>
  <c r="P723" i="3"/>
  <c r="Q723" i="3" s="1"/>
  <c r="R723" i="3" s="1"/>
  <c r="S723" i="3" s="1"/>
  <c r="T723" i="3" l="1"/>
  <c r="L722" i="3"/>
  <c r="U722" i="3" l="1"/>
  <c r="E723" i="3" s="1"/>
  <c r="H723" i="3" s="1"/>
  <c r="AG723" i="3"/>
  <c r="AH723" i="3"/>
  <c r="Y721" i="3"/>
  <c r="D723" i="3" l="1"/>
  <c r="G723" i="3" s="1"/>
  <c r="K723" i="3"/>
  <c r="AE723" i="3" s="1"/>
  <c r="F723" i="3" l="1"/>
  <c r="V723" i="3"/>
  <c r="A724" i="3"/>
  <c r="B724" i="3" s="1"/>
  <c r="I723" i="3"/>
  <c r="J723" i="3"/>
  <c r="AD723" i="3" s="1"/>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U724" i="3" l="1"/>
  <c r="Y723" i="3"/>
  <c r="T725" i="3"/>
  <c r="AG725" i="3" s="1"/>
  <c r="AH725" i="3" l="1"/>
  <c r="D725" i="3"/>
  <c r="G725" i="3" s="1"/>
  <c r="E725" i="3"/>
  <c r="H725" i="3" s="1"/>
  <c r="F725" i="3" l="1"/>
  <c r="I725" i="3"/>
  <c r="J725" i="3"/>
  <c r="AD725" i="3" s="1"/>
  <c r="M725" i="3"/>
  <c r="N725" i="3" s="1"/>
  <c r="K725" i="3"/>
  <c r="AE725" i="3" s="1"/>
  <c r="V725" i="3" l="1"/>
  <c r="W725" i="3" s="1"/>
  <c r="A726" i="3"/>
  <c r="B726" i="3" s="1"/>
  <c r="L725" i="3"/>
  <c r="U725" i="3" l="1"/>
  <c r="Y724" i="3"/>
  <c r="Z726" i="3"/>
  <c r="P726" i="3"/>
  <c r="Q726" i="3" s="1"/>
  <c r="R726" i="3" s="1"/>
  <c r="S726" i="3" s="1"/>
  <c r="AA726" i="3"/>
  <c r="AC726" i="3"/>
  <c r="T726" i="3" l="1"/>
  <c r="AG726" i="3" s="1"/>
  <c r="D726" i="3" l="1"/>
  <c r="G726" i="3" s="1"/>
  <c r="E726" i="3"/>
  <c r="H726" i="3" s="1"/>
  <c r="K726" i="3" s="1"/>
  <c r="AE726" i="3" s="1"/>
  <c r="AH726" i="3"/>
  <c r="F726" i="3" l="1"/>
  <c r="I726" i="3"/>
  <c r="J726" i="3"/>
  <c r="AD726" i="3" s="1"/>
  <c r="M726" i="3"/>
  <c r="N726" i="3" s="1"/>
  <c r="V726" i="3"/>
  <c r="A727" i="3"/>
  <c r="B727" i="3" s="1"/>
  <c r="W726" i="3" l="1"/>
  <c r="L726" i="3"/>
  <c r="P727" i="3"/>
  <c r="Q727" i="3" s="1"/>
  <c r="R727" i="3" s="1"/>
  <c r="S727" i="3" s="1"/>
  <c r="Z727" i="3"/>
  <c r="AA727" i="3"/>
  <c r="AC727" i="3"/>
  <c r="U726" i="3" l="1"/>
  <c r="Y725" i="3"/>
  <c r="T727" i="3"/>
  <c r="AH727" i="3" s="1"/>
  <c r="E727" i="3" l="1"/>
  <c r="H727" i="3" s="1"/>
  <c r="K727" i="3" s="1"/>
  <c r="AE727" i="3" s="1"/>
  <c r="D727" i="3"/>
  <c r="AG727" i="3"/>
  <c r="F727" i="3" l="1"/>
  <c r="G727" i="3"/>
  <c r="M727" i="3" s="1"/>
  <c r="N727" i="3" s="1"/>
  <c r="V727" i="3"/>
  <c r="A728" i="3"/>
  <c r="B728" i="3" s="1"/>
  <c r="I727" i="3" l="1"/>
  <c r="W727" i="3" s="1"/>
  <c r="J727" i="3"/>
  <c r="AA728" i="3"/>
  <c r="P728" i="3"/>
  <c r="Q728" i="3" s="1"/>
  <c r="R728" i="3" s="1"/>
  <c r="S728" i="3" s="1"/>
  <c r="AC728" i="3"/>
  <c r="Z728" i="3"/>
  <c r="L727" i="3" l="1"/>
  <c r="U727" i="3" s="1"/>
  <c r="AD727" i="3"/>
  <c r="T728" i="3"/>
  <c r="Y726" i="3" l="1"/>
  <c r="D728" i="3"/>
  <c r="G728" i="3" s="1"/>
  <c r="AG728" i="3"/>
  <c r="E728" i="3"/>
  <c r="H728" i="3" s="1"/>
  <c r="AH728" i="3"/>
  <c r="F728" i="3" l="1"/>
  <c r="I728" i="3"/>
  <c r="J728" i="3"/>
  <c r="AD728" i="3" s="1"/>
  <c r="M728" i="3"/>
  <c r="N728" i="3" s="1"/>
  <c r="K728" i="3"/>
  <c r="AE728" i="3" s="1"/>
  <c r="V728" i="3" l="1"/>
  <c r="W728" i="3" s="1"/>
  <c r="A729" i="3"/>
  <c r="B729" i="3" s="1"/>
  <c r="L728" i="3"/>
  <c r="U728" i="3" l="1"/>
  <c r="Y727" i="3"/>
  <c r="P729" i="3"/>
  <c r="Q729" i="3" s="1"/>
  <c r="R729" i="3" s="1"/>
  <c r="S729" i="3" s="1"/>
  <c r="AA729" i="3"/>
  <c r="AC729" i="3"/>
  <c r="Z729" i="3"/>
  <c r="T729" i="3" l="1"/>
  <c r="E729" i="3" s="1"/>
  <c r="H729" i="3" s="1"/>
  <c r="AH729" i="3" l="1"/>
  <c r="D729" i="3"/>
  <c r="F729" i="3" s="1"/>
  <c r="AG729" i="3"/>
  <c r="K729" i="3"/>
  <c r="AE729" i="3" s="1"/>
  <c r="G729" i="3" l="1"/>
  <c r="I729" i="3" s="1"/>
  <c r="V729" i="3"/>
  <c r="A730" i="3"/>
  <c r="B730" i="3" s="1"/>
  <c r="W729" i="3" l="1"/>
  <c r="J729" i="3"/>
  <c r="M729" i="3"/>
  <c r="N729" i="3" s="1"/>
  <c r="AA730" i="3"/>
  <c r="Z730" i="3"/>
  <c r="P730" i="3"/>
  <c r="Q730" i="3" s="1"/>
  <c r="R730" i="3" s="1"/>
  <c r="S730" i="3" s="1"/>
  <c r="AC730" i="3"/>
  <c r="L729" i="3" l="1"/>
  <c r="U729" i="3" s="1"/>
  <c r="AD729" i="3"/>
  <c r="T730" i="3"/>
  <c r="Y728" i="3" l="1"/>
  <c r="AG730" i="3"/>
  <c r="D730" i="3"/>
  <c r="E730" i="3"/>
  <c r="H730" i="3" s="1"/>
  <c r="AH730" i="3"/>
  <c r="K730" i="3" l="1"/>
  <c r="AE730" i="3" s="1"/>
  <c r="F730" i="3"/>
  <c r="G730" i="3"/>
  <c r="I730" i="3" l="1"/>
  <c r="J730" i="3"/>
  <c r="AD730" i="3" s="1"/>
  <c r="M730" i="3"/>
  <c r="N730" i="3" s="1"/>
  <c r="V730" i="3"/>
  <c r="A731" i="3"/>
  <c r="B731" i="3" s="1"/>
  <c r="W730" i="3" l="1"/>
  <c r="L730" i="3"/>
  <c r="P731" i="3"/>
  <c r="Q731" i="3" s="1"/>
  <c r="R731" i="3" s="1"/>
  <c r="S731" i="3" s="1"/>
  <c r="Z731" i="3"/>
  <c r="AA731" i="3"/>
  <c r="AC731" i="3"/>
  <c r="U730" i="3" l="1"/>
  <c r="Y729" i="3"/>
  <c r="T731" i="3"/>
  <c r="AG731" i="3" s="1"/>
  <c r="E731" i="3" l="1"/>
  <c r="H731" i="3" s="1"/>
  <c r="K731" i="3" s="1"/>
  <c r="AE731" i="3" s="1"/>
  <c r="AH731" i="3"/>
  <c r="D731" i="3"/>
  <c r="F731" i="3" l="1"/>
  <c r="G731" i="3"/>
  <c r="J731" i="3" s="1"/>
  <c r="AD731" i="3" s="1"/>
  <c r="V731" i="3"/>
  <c r="A732" i="3"/>
  <c r="B732" i="3" s="1"/>
  <c r="M731" i="3" l="1"/>
  <c r="N731" i="3" s="1"/>
  <c r="I731" i="3"/>
  <c r="W731" i="3" s="1"/>
  <c r="L731" i="3"/>
  <c r="AC732" i="3"/>
  <c r="Z732" i="3"/>
  <c r="AA732" i="3"/>
  <c r="P732" i="3"/>
  <c r="Q732" i="3" s="1"/>
  <c r="R732" i="3" s="1"/>
  <c r="S732" i="3" s="1"/>
  <c r="U731" i="3" l="1"/>
  <c r="Y730" i="3"/>
  <c r="T732" i="3"/>
  <c r="E732" i="3" l="1"/>
  <c r="H732" i="3" s="1"/>
  <c r="K732" i="3" s="1"/>
  <c r="AE732" i="3" s="1"/>
  <c r="D732" i="3"/>
  <c r="G732" i="3" s="1"/>
  <c r="AH732" i="3"/>
  <c r="AG732" i="3"/>
  <c r="F732" i="3" l="1"/>
  <c r="I732" i="3"/>
  <c r="J732" i="3"/>
  <c r="AD732" i="3" s="1"/>
  <c r="M732" i="3"/>
  <c r="N732" i="3" s="1"/>
  <c r="V732" i="3"/>
  <c r="A733" i="3"/>
  <c r="B733" i="3" s="1"/>
  <c r="W732" i="3" l="1"/>
  <c r="L732" i="3"/>
  <c r="AC733" i="3"/>
  <c r="P733" i="3"/>
  <c r="Q733" i="3" s="1"/>
  <c r="R733" i="3" s="1"/>
  <c r="S733" i="3" s="1"/>
  <c r="AA733" i="3"/>
  <c r="Z733" i="3"/>
  <c r="T733" i="3" l="1"/>
  <c r="AH733" i="3" s="1"/>
  <c r="U732" i="3"/>
  <c r="Y731" i="3"/>
  <c r="D733" i="3" l="1"/>
  <c r="G733" i="3" s="1"/>
  <c r="E733" i="3"/>
  <c r="H733" i="3" s="1"/>
  <c r="AG733" i="3"/>
  <c r="F733" i="3" l="1"/>
  <c r="I733" i="3"/>
  <c r="J733" i="3"/>
  <c r="AD733" i="3" s="1"/>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L734" i="3" l="1"/>
  <c r="Y733" i="3" s="1"/>
  <c r="AD734" i="3"/>
  <c r="T735" i="3"/>
  <c r="U734" i="3" l="1"/>
  <c r="E735" i="3" s="1"/>
  <c r="H735" i="3" s="1"/>
  <c r="AH735" i="3"/>
  <c r="AG735" i="3"/>
  <c r="D735" i="3" l="1"/>
  <c r="G735" i="3" s="1"/>
  <c r="M735" i="3" s="1"/>
  <c r="N735" i="3" s="1"/>
  <c r="K735" i="3"/>
  <c r="AE735" i="3" s="1"/>
  <c r="F735" i="3" l="1"/>
  <c r="I735" i="3"/>
  <c r="J735" i="3"/>
  <c r="V735" i="3"/>
  <c r="A736" i="3"/>
  <c r="B736" i="3" s="1"/>
  <c r="L735" i="3" l="1"/>
  <c r="U735" i="3" s="1"/>
  <c r="AD735" i="3"/>
  <c r="W735" i="3"/>
  <c r="Z736" i="3"/>
  <c r="P736" i="3"/>
  <c r="Q736" i="3" s="1"/>
  <c r="R736" i="3" s="1"/>
  <c r="S736" i="3" s="1"/>
  <c r="AA736" i="3"/>
  <c r="AC736" i="3"/>
  <c r="Y734" i="3" l="1"/>
  <c r="T736" i="3"/>
  <c r="E736" i="3" s="1"/>
  <c r="H736" i="3" s="1"/>
  <c r="AH736" i="3" l="1"/>
  <c r="D736" i="3"/>
  <c r="F736" i="3" s="1"/>
  <c r="K736" i="3"/>
  <c r="AE736" i="3" s="1"/>
  <c r="AG736" i="3"/>
  <c r="G736" i="3" l="1"/>
  <c r="M736" i="3" s="1"/>
  <c r="N736" i="3" s="1"/>
  <c r="V736" i="3"/>
  <c r="A737" i="3"/>
  <c r="B737" i="3" s="1"/>
  <c r="I736" i="3" l="1"/>
  <c r="W736" i="3" s="1"/>
  <c r="J736" i="3"/>
  <c r="AC737" i="3"/>
  <c r="P737" i="3"/>
  <c r="Q737" i="3" s="1"/>
  <c r="R737" i="3" s="1"/>
  <c r="S737" i="3" s="1"/>
  <c r="Z737" i="3"/>
  <c r="AA737" i="3"/>
  <c r="L736" i="3" l="1"/>
  <c r="U736" i="3" s="1"/>
  <c r="AD736" i="3"/>
  <c r="T737" i="3"/>
  <c r="Y735" i="3" l="1"/>
  <c r="AH737" i="3"/>
  <c r="D737" i="3"/>
  <c r="E737" i="3"/>
  <c r="H737" i="3" s="1"/>
  <c r="AG737" i="3"/>
  <c r="F737" i="3" l="1"/>
  <c r="G737" i="3"/>
  <c r="K737" i="3"/>
  <c r="AE737" i="3" s="1"/>
  <c r="V737" i="3" l="1"/>
  <c r="A738" i="3"/>
  <c r="B738" i="3" s="1"/>
  <c r="I737" i="3"/>
  <c r="J737" i="3"/>
  <c r="AD737" i="3" s="1"/>
  <c r="M737" i="3"/>
  <c r="N737" i="3" s="1"/>
  <c r="W737" i="3" l="1"/>
  <c r="L737" i="3"/>
  <c r="AA738" i="3"/>
  <c r="P738" i="3"/>
  <c r="Q738" i="3" s="1"/>
  <c r="R738" i="3" s="1"/>
  <c r="S738" i="3" s="1"/>
  <c r="AC738" i="3"/>
  <c r="Z738" i="3"/>
  <c r="U737" i="3" l="1"/>
  <c r="Y736" i="3"/>
  <c r="T738" i="3"/>
  <c r="E738" i="3" l="1"/>
  <c r="H738" i="3" s="1"/>
  <c r="K738" i="3" s="1"/>
  <c r="AE738" i="3" s="1"/>
  <c r="D738" i="3"/>
  <c r="AG738" i="3"/>
  <c r="AH738" i="3"/>
  <c r="V738" i="3" l="1"/>
  <c r="A739" i="3"/>
  <c r="B739" i="3" s="1"/>
  <c r="F738" i="3"/>
  <c r="G738" i="3"/>
  <c r="I738" i="3" l="1"/>
  <c r="W738" i="3" s="1"/>
  <c r="J738" i="3"/>
  <c r="AD738" i="3" s="1"/>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Z746" i="3"/>
  <c r="P746" i="3"/>
  <c r="Q746" i="3" s="1"/>
  <c r="R746" i="3" s="1"/>
  <c r="S746" i="3" s="1"/>
  <c r="AA746" i="3"/>
  <c r="AC746" i="3"/>
  <c r="L745" i="3" l="1"/>
  <c r="U745" i="3" s="1"/>
  <c r="AD745" i="3"/>
  <c r="T746" i="3"/>
  <c r="Y744" i="3" l="1"/>
  <c r="D746" i="3"/>
  <c r="G746" i="3" s="1"/>
  <c r="AG746" i="3"/>
  <c r="E746" i="3"/>
  <c r="H746" i="3" s="1"/>
  <c r="AH746" i="3"/>
  <c r="F746" i="3" l="1"/>
  <c r="I746" i="3"/>
  <c r="J746" i="3"/>
  <c r="AD746" i="3" s="1"/>
  <c r="M746" i="3"/>
  <c r="N746" i="3" s="1"/>
  <c r="K746" i="3"/>
  <c r="AE746" i="3" s="1"/>
  <c r="V746" i="3" l="1"/>
  <c r="W746" i="3" s="1"/>
  <c r="A747" i="3"/>
  <c r="B747" i="3" s="1"/>
  <c r="L746" i="3"/>
  <c r="U746" i="3" l="1"/>
  <c r="Y745" i="3"/>
  <c r="AA747" i="3"/>
  <c r="Z747" i="3"/>
  <c r="AC747" i="3"/>
  <c r="P747" i="3"/>
  <c r="Q747" i="3" s="1"/>
  <c r="R747" i="3" s="1"/>
  <c r="S747" i="3" s="1"/>
  <c r="T747" i="3" l="1"/>
  <c r="D747" i="3" s="1"/>
  <c r="AG747" i="3" l="1"/>
  <c r="E747" i="3"/>
  <c r="H747" i="3" s="1"/>
  <c r="K747" i="3" s="1"/>
  <c r="AE747" i="3" s="1"/>
  <c r="AH747" i="3"/>
  <c r="G747" i="3"/>
  <c r="F747" i="3" l="1"/>
  <c r="I747" i="3"/>
  <c r="J747" i="3"/>
  <c r="AD747" i="3" s="1"/>
  <c r="M747" i="3"/>
  <c r="N747" i="3" s="1"/>
  <c r="V747" i="3"/>
  <c r="A748" i="3"/>
  <c r="B748" i="3" s="1"/>
  <c r="W747" i="3" l="1"/>
  <c r="L747" i="3"/>
  <c r="AC748" i="3"/>
  <c r="P748" i="3"/>
  <c r="Q748" i="3" s="1"/>
  <c r="R748" i="3" s="1"/>
  <c r="S748" i="3" s="1"/>
  <c r="Z748" i="3"/>
  <c r="AA748" i="3"/>
  <c r="U747" i="3" l="1"/>
  <c r="Y746" i="3"/>
  <c r="T748" i="3"/>
  <c r="E748" i="3" l="1"/>
  <c r="H748" i="3" s="1"/>
  <c r="K748" i="3" s="1"/>
  <c r="AE748" i="3" s="1"/>
  <c r="D748" i="3"/>
  <c r="AH748" i="3"/>
  <c r="AG748" i="3"/>
  <c r="V748" i="3" l="1"/>
  <c r="A749" i="3"/>
  <c r="B749" i="3" s="1"/>
  <c r="F748" i="3"/>
  <c r="G748" i="3"/>
  <c r="I748" i="3" l="1"/>
  <c r="W748" i="3" s="1"/>
  <c r="J748" i="3"/>
  <c r="AD748" i="3" s="1"/>
  <c r="M748" i="3"/>
  <c r="N748" i="3" s="1"/>
  <c r="AA749" i="3"/>
  <c r="Z749" i="3"/>
  <c r="P749" i="3"/>
  <c r="Q749" i="3" s="1"/>
  <c r="R749" i="3" s="1"/>
  <c r="S749" i="3" s="1"/>
  <c r="AC749" i="3"/>
  <c r="T749" i="3" l="1"/>
  <c r="L748" i="3"/>
  <c r="U748" i="3" l="1"/>
  <c r="E749" i="3" s="1"/>
  <c r="H749" i="3" s="1"/>
  <c r="AG749" i="3"/>
  <c r="AH749" i="3"/>
  <c r="Y747" i="3"/>
  <c r="K749" i="3" l="1"/>
  <c r="AE749" i="3" s="1"/>
  <c r="D749" i="3"/>
  <c r="V749" i="3" l="1"/>
  <c r="A750" i="3"/>
  <c r="B750" i="3" s="1"/>
  <c r="F749" i="3"/>
  <c r="G749" i="3"/>
  <c r="I749" i="3" l="1"/>
  <c r="W749" i="3" s="1"/>
  <c r="J749" i="3"/>
  <c r="AD749" i="3" s="1"/>
  <c r="M749" i="3"/>
  <c r="N749" i="3" s="1"/>
  <c r="AA750" i="3"/>
  <c r="AC750" i="3"/>
  <c r="Z750" i="3"/>
  <c r="P750" i="3"/>
  <c r="Q750" i="3" s="1"/>
  <c r="R750" i="3" s="1"/>
  <c r="S750" i="3" s="1"/>
  <c r="T750" i="3" l="1"/>
  <c r="L749" i="3"/>
  <c r="AH750" i="3" l="1"/>
  <c r="AG750" i="3"/>
  <c r="U749" i="3"/>
  <c r="D750" i="3" s="1"/>
  <c r="Y748" i="3"/>
  <c r="G750" i="3" l="1"/>
  <c r="E750" i="3"/>
  <c r="H750" i="3" s="1"/>
  <c r="F750" i="3" l="1"/>
  <c r="I750" i="3"/>
  <c r="J750" i="3"/>
  <c r="AD750" i="3" s="1"/>
  <c r="M750" i="3"/>
  <c r="N750" i="3" s="1"/>
  <c r="K750" i="3"/>
  <c r="AE750" i="3" s="1"/>
  <c r="V750" i="3" l="1"/>
  <c r="W750" i="3" s="1"/>
  <c r="A751" i="3"/>
  <c r="B751" i="3" s="1"/>
  <c r="L750" i="3"/>
  <c r="U750" i="3" l="1"/>
  <c r="Y749" i="3"/>
  <c r="P751" i="3"/>
  <c r="Q751" i="3" s="1"/>
  <c r="R751" i="3" s="1"/>
  <c r="S751" i="3" s="1"/>
  <c r="Z751" i="3"/>
  <c r="AA751" i="3"/>
  <c r="AC751" i="3"/>
  <c r="T751" i="3" l="1"/>
  <c r="AH751" i="3" s="1"/>
  <c r="E751" i="3" l="1"/>
  <c r="H751" i="3" s="1"/>
  <c r="K751" i="3" s="1"/>
  <c r="AE751" i="3" s="1"/>
  <c r="AG751" i="3"/>
  <c r="D751" i="3"/>
  <c r="F751" i="3" l="1"/>
  <c r="G751" i="3"/>
  <c r="V751" i="3"/>
  <c r="A752" i="3"/>
  <c r="B752" i="3" s="1"/>
  <c r="AA752" i="3" l="1"/>
  <c r="Z752" i="3"/>
  <c r="AC752" i="3"/>
  <c r="P752" i="3"/>
  <c r="Q752" i="3" s="1"/>
  <c r="R752" i="3" s="1"/>
  <c r="S752" i="3" s="1"/>
  <c r="I751" i="3"/>
  <c r="W751" i="3" s="1"/>
  <c r="J751" i="3"/>
  <c r="AD751" i="3" s="1"/>
  <c r="M751" i="3"/>
  <c r="N751" i="3" s="1"/>
  <c r="L751" i="3" l="1"/>
  <c r="T752" i="3"/>
  <c r="U751" i="3" l="1"/>
  <c r="E752" i="3" s="1"/>
  <c r="H752" i="3" s="1"/>
  <c r="AG752" i="3"/>
  <c r="AH752" i="3"/>
  <c r="Y750" i="3"/>
  <c r="K752" i="3" l="1"/>
  <c r="AE752" i="3" s="1"/>
  <c r="D752" i="3"/>
  <c r="V752" i="3" l="1"/>
  <c r="A753" i="3"/>
  <c r="B753" i="3" s="1"/>
  <c r="F752" i="3"/>
  <c r="G752" i="3"/>
  <c r="I752" i="3" l="1"/>
  <c r="W752" i="3" s="1"/>
  <c r="J752" i="3"/>
  <c r="AD752" i="3" s="1"/>
  <c r="M752" i="3"/>
  <c r="N752" i="3" s="1"/>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AD753" i="3" s="1"/>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I755" i="3"/>
  <c r="W755" i="3" s="1"/>
  <c r="J755" i="3"/>
  <c r="AD755" i="3" s="1"/>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AC757" i="3"/>
  <c r="P757" i="3"/>
  <c r="Q757" i="3" s="1"/>
  <c r="R757" i="3" s="1"/>
  <c r="S757" i="3" s="1"/>
  <c r="Z757" i="3"/>
  <c r="AA757" i="3"/>
  <c r="L756" i="3" l="1"/>
  <c r="U756" i="3" s="1"/>
  <c r="AD756" i="3"/>
  <c r="T757" i="3"/>
  <c r="Y755" i="3" l="1"/>
  <c r="E757" i="3"/>
  <c r="H757" i="3" s="1"/>
  <c r="K757" i="3" s="1"/>
  <c r="AE757" i="3" s="1"/>
  <c r="AH757" i="3"/>
  <c r="D757" i="3"/>
  <c r="AG757" i="3"/>
  <c r="V757" i="3" l="1"/>
  <c r="A758" i="3"/>
  <c r="B758" i="3" s="1"/>
  <c r="F757" i="3"/>
  <c r="G757" i="3"/>
  <c r="I757" i="3" l="1"/>
  <c r="W757" i="3" s="1"/>
  <c r="J757" i="3"/>
  <c r="AD757" i="3" s="1"/>
  <c r="M757" i="3"/>
  <c r="N757" i="3" s="1"/>
  <c r="AA758" i="3"/>
  <c r="Z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AD758" i="3" s="1"/>
  <c r="M758" i="3"/>
  <c r="N758" i="3" s="1"/>
  <c r="L758" i="3" l="1"/>
  <c r="W758" i="3"/>
  <c r="P759" i="3"/>
  <c r="Q759" i="3" s="1"/>
  <c r="R759" i="3" s="1"/>
  <c r="S759" i="3" s="1"/>
  <c r="Z759" i="3"/>
  <c r="AA759" i="3"/>
  <c r="AC759" i="3"/>
  <c r="U758" i="3" l="1"/>
  <c r="Y757" i="3"/>
  <c r="T759" i="3"/>
  <c r="D759" i="3" l="1"/>
  <c r="G759" i="3" s="1"/>
  <c r="AG759" i="3"/>
  <c r="E759" i="3"/>
  <c r="H759" i="3" s="1"/>
  <c r="AH759" i="3"/>
  <c r="F759" i="3" l="1"/>
  <c r="I759" i="3"/>
  <c r="J759" i="3"/>
  <c r="AD759" i="3" s="1"/>
  <c r="M759" i="3"/>
  <c r="N759" i="3" s="1"/>
  <c r="K759" i="3"/>
  <c r="AE759" i="3" s="1"/>
  <c r="V759" i="3" l="1"/>
  <c r="W759" i="3" s="1"/>
  <c r="A760" i="3"/>
  <c r="B760" i="3" s="1"/>
  <c r="L759" i="3"/>
  <c r="U759" i="3" l="1"/>
  <c r="Y758" i="3"/>
  <c r="AA760" i="3"/>
  <c r="AC760" i="3"/>
  <c r="Z760" i="3"/>
  <c r="P760" i="3"/>
  <c r="Q760" i="3" s="1"/>
  <c r="R760" i="3" s="1"/>
  <c r="S760" i="3" s="1"/>
  <c r="T760" i="3" l="1"/>
  <c r="E760" i="3" s="1"/>
  <c r="H760" i="3" s="1"/>
  <c r="AH760" i="3" l="1"/>
  <c r="AG760" i="3"/>
  <c r="D760" i="3"/>
  <c r="G760" i="3" s="1"/>
  <c r="K760" i="3"/>
  <c r="AE760" i="3" s="1"/>
  <c r="F760" i="3" l="1"/>
  <c r="I760" i="3"/>
  <c r="J760" i="3"/>
  <c r="AD760" i="3" s="1"/>
  <c r="M760" i="3"/>
  <c r="N760" i="3" s="1"/>
  <c r="V760" i="3"/>
  <c r="A761" i="3"/>
  <c r="B761" i="3" s="1"/>
  <c r="W760" i="3" l="1"/>
  <c r="L760" i="3"/>
  <c r="P761" i="3"/>
  <c r="Q761" i="3" s="1"/>
  <c r="R761" i="3" s="1"/>
  <c r="S761" i="3" s="1"/>
  <c r="Z761" i="3"/>
  <c r="AA761" i="3"/>
  <c r="AC761" i="3"/>
  <c r="T761" i="3" l="1"/>
  <c r="U760" i="3"/>
  <c r="Y759" i="3"/>
  <c r="D761" i="3" l="1"/>
  <c r="G761" i="3" s="1"/>
  <c r="AG761" i="3"/>
  <c r="AH761" i="3"/>
  <c r="E761" i="3"/>
  <c r="H761" i="3" s="1"/>
  <c r="F761" i="3" l="1"/>
  <c r="I761" i="3"/>
  <c r="J761" i="3"/>
  <c r="AD761" i="3" s="1"/>
  <c r="M761" i="3"/>
  <c r="N761" i="3" s="1"/>
  <c r="K761" i="3"/>
  <c r="AE761" i="3" s="1"/>
  <c r="V761" i="3" l="1"/>
  <c r="W761" i="3" s="1"/>
  <c r="A762" i="3"/>
  <c r="B762" i="3" s="1"/>
  <c r="L761" i="3"/>
  <c r="U761" i="3" l="1"/>
  <c r="Y760" i="3"/>
  <c r="AA762" i="3"/>
  <c r="Z762" i="3"/>
  <c r="AC762" i="3"/>
  <c r="P762" i="3"/>
  <c r="Q762" i="3" s="1"/>
  <c r="R762" i="3" s="1"/>
  <c r="S762" i="3" s="1"/>
  <c r="T762" i="3" l="1"/>
  <c r="D762" i="3" s="1"/>
  <c r="E762" i="3" l="1"/>
  <c r="H762" i="3" s="1"/>
  <c r="K762" i="3" s="1"/>
  <c r="AE762" i="3" s="1"/>
  <c r="AH762" i="3"/>
  <c r="AG762" i="3"/>
  <c r="G762" i="3"/>
  <c r="F762" i="3" l="1"/>
  <c r="I762" i="3"/>
  <c r="J762" i="3"/>
  <c r="AD762" i="3" s="1"/>
  <c r="M762" i="3"/>
  <c r="N762" i="3" s="1"/>
  <c r="V762" i="3"/>
  <c r="A763" i="3"/>
  <c r="B763" i="3" s="1"/>
  <c r="W762" i="3" l="1"/>
  <c r="L762" i="3"/>
  <c r="AC763" i="3"/>
  <c r="Z763" i="3"/>
  <c r="AA763" i="3"/>
  <c r="P763" i="3"/>
  <c r="Q763" i="3" s="1"/>
  <c r="R763" i="3" s="1"/>
  <c r="S763" i="3" s="1"/>
  <c r="U762" i="3" l="1"/>
  <c r="Y761" i="3"/>
  <c r="T763" i="3"/>
  <c r="D763" i="3" l="1"/>
  <c r="G763" i="3" s="1"/>
  <c r="AG763" i="3"/>
  <c r="AH763" i="3"/>
  <c r="E763" i="3"/>
  <c r="H763" i="3" s="1"/>
  <c r="K763" i="3" s="1"/>
  <c r="AE763" i="3" s="1"/>
  <c r="F763" i="3" l="1"/>
  <c r="I763" i="3"/>
  <c r="J763" i="3"/>
  <c r="AD763" i="3" s="1"/>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I764" i="3"/>
  <c r="W764" i="3" s="1"/>
  <c r="J764" i="3"/>
  <c r="AD764" i="3" s="1"/>
  <c r="M764" i="3"/>
  <c r="N764" i="3" s="1"/>
  <c r="T765" i="3" l="1"/>
  <c r="L764" i="3"/>
  <c r="AG765" i="3" l="1"/>
  <c r="AH765" i="3"/>
  <c r="U764" i="3"/>
  <c r="D765" i="3" s="1"/>
  <c r="Y763" i="3"/>
  <c r="E765" i="3" l="1"/>
  <c r="H765" i="3" s="1"/>
  <c r="K765" i="3" s="1"/>
  <c r="AE765" i="3" s="1"/>
  <c r="G765" i="3"/>
  <c r="F765" i="3" l="1"/>
  <c r="I765" i="3"/>
  <c r="J765" i="3"/>
  <c r="AD765" i="3" s="1"/>
  <c r="M765" i="3"/>
  <c r="N765" i="3" s="1"/>
  <c r="V765" i="3"/>
  <c r="A766" i="3"/>
  <c r="B766" i="3" s="1"/>
  <c r="W765" i="3" l="1"/>
  <c r="L765"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AD766" i="3" s="1"/>
  <c r="M766" i="3"/>
  <c r="N766" i="3" s="1"/>
  <c r="P767" i="3"/>
  <c r="Q767" i="3" s="1"/>
  <c r="R767" i="3" s="1"/>
  <c r="S767" i="3" s="1"/>
  <c r="AC767" i="3"/>
  <c r="AA767" i="3"/>
  <c r="Z767" i="3"/>
  <c r="T767" i="3" l="1"/>
  <c r="L766" i="3"/>
  <c r="AH767" i="3" l="1"/>
  <c r="AG767" i="3"/>
  <c r="U766" i="3"/>
  <c r="D767" i="3" s="1"/>
  <c r="Y765" i="3"/>
  <c r="E767" i="3" l="1"/>
  <c r="H767" i="3" s="1"/>
  <c r="K767" i="3" s="1"/>
  <c r="AE767" i="3" s="1"/>
  <c r="G767" i="3"/>
  <c r="F767" i="3" l="1"/>
  <c r="I767" i="3"/>
  <c r="J767" i="3"/>
  <c r="AD767" i="3" s="1"/>
  <c r="M767" i="3"/>
  <c r="N767" i="3" s="1"/>
  <c r="V767" i="3"/>
  <c r="A768" i="3"/>
  <c r="B768" i="3" s="1"/>
  <c r="W767" i="3" l="1"/>
  <c r="L767" i="3"/>
  <c r="AC768" i="3"/>
  <c r="AA768" i="3"/>
  <c r="P768" i="3"/>
  <c r="Q768" i="3" s="1"/>
  <c r="R768" i="3" s="1"/>
  <c r="S768" i="3" s="1"/>
  <c r="Z768" i="3"/>
  <c r="T768" i="3" l="1"/>
  <c r="AG768" i="3" s="1"/>
  <c r="U767" i="3"/>
  <c r="Y766" i="3"/>
  <c r="D768" i="3" l="1"/>
  <c r="G768" i="3" s="1"/>
  <c r="AH768" i="3"/>
  <c r="E768" i="3"/>
  <c r="H768" i="3" s="1"/>
  <c r="K768" i="3" l="1"/>
  <c r="AE768" i="3" s="1"/>
  <c r="I768" i="3"/>
  <c r="J768" i="3"/>
  <c r="AD768" i="3" s="1"/>
  <c r="M768" i="3"/>
  <c r="N768" i="3" s="1"/>
  <c r="F768" i="3"/>
  <c r="L768" i="3" l="1"/>
  <c r="V768" i="3"/>
  <c r="W768" i="3" s="1"/>
  <c r="A769" i="3"/>
  <c r="B769" i="3" s="1"/>
  <c r="AC769" i="3" l="1"/>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AD769" i="3" s="1"/>
  <c r="M769" i="3"/>
  <c r="N769" i="3" s="1"/>
  <c r="W769" i="3" l="1"/>
  <c r="L769" i="3"/>
  <c r="AC770" i="3"/>
  <c r="P770" i="3"/>
  <c r="Q770" i="3" s="1"/>
  <c r="R770" i="3" s="1"/>
  <c r="S770" i="3" s="1"/>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AA771" i="3"/>
  <c r="AC771" i="3"/>
  <c r="P771" i="3"/>
  <c r="Q771" i="3" s="1"/>
  <c r="R771" i="3" s="1"/>
  <c r="S771" i="3" s="1"/>
  <c r="Z771" i="3"/>
  <c r="L770" i="3" l="1"/>
  <c r="U770" i="3" s="1"/>
  <c r="AD770" i="3"/>
  <c r="T771" i="3"/>
  <c r="AH771" i="3" l="1"/>
  <c r="Y769" i="3"/>
  <c r="E771" i="3"/>
  <c r="H771" i="3" s="1"/>
  <c r="AG771" i="3"/>
  <c r="D771" i="3"/>
  <c r="K771" i="3" l="1"/>
  <c r="AE771" i="3" s="1"/>
  <c r="F771" i="3"/>
  <c r="G771" i="3"/>
  <c r="V771" i="3" l="1"/>
  <c r="A772" i="3"/>
  <c r="B772" i="3" s="1"/>
  <c r="I771" i="3"/>
  <c r="J771" i="3"/>
  <c r="AD771" i="3" s="1"/>
  <c r="M771" i="3"/>
  <c r="N771" i="3" s="1"/>
  <c r="L771" i="3" l="1"/>
  <c r="W771"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AD772" i="3" s="1"/>
  <c r="M772" i="3"/>
  <c r="N772" i="3" s="1"/>
  <c r="W772" i="3" l="1"/>
  <c r="L772" i="3"/>
  <c r="AA773" i="3"/>
  <c r="P773" i="3"/>
  <c r="Q773" i="3" s="1"/>
  <c r="R773" i="3" s="1"/>
  <c r="S773" i="3" s="1"/>
  <c r="Z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AC774" i="3"/>
  <c r="P774" i="3"/>
  <c r="Q774" i="3" s="1"/>
  <c r="R774" i="3" s="1"/>
  <c r="S774" i="3" s="1"/>
  <c r="AA774" i="3"/>
  <c r="Z774" i="3"/>
  <c r="L773" i="3" l="1"/>
  <c r="Y772" i="3" s="1"/>
  <c r="AD773" i="3"/>
  <c r="T774" i="3"/>
  <c r="AG774" i="3" l="1"/>
  <c r="U773" i="3"/>
  <c r="E774" i="3" s="1"/>
  <c r="H774" i="3" s="1"/>
  <c r="K774" i="3" s="1"/>
  <c r="AE774" i="3" s="1"/>
  <c r="AH774" i="3"/>
  <c r="D774" i="3" l="1"/>
  <c r="F774" i="3" s="1"/>
  <c r="V774" i="3"/>
  <c r="A775" i="3"/>
  <c r="B775" i="3" s="1"/>
  <c r="G774" i="3" l="1"/>
  <c r="M774" i="3" s="1"/>
  <c r="N774" i="3" s="1"/>
  <c r="P775" i="3"/>
  <c r="Q775" i="3" s="1"/>
  <c r="R775" i="3" s="1"/>
  <c r="S775" i="3" s="1"/>
  <c r="Z775" i="3"/>
  <c r="AD775" i="3"/>
  <c r="AA775" i="3"/>
  <c r="AC775" i="3"/>
  <c r="J774" i="3" l="1"/>
  <c r="L774" i="3" s="1"/>
  <c r="Y773" i="3" s="1"/>
  <c r="I774" i="3"/>
  <c r="W774"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A778" i="3"/>
  <c r="AC778" i="3"/>
  <c r="U777" i="3" l="1"/>
  <c r="Y776" i="3"/>
  <c r="T778" i="3"/>
  <c r="AH778" i="3" s="1"/>
  <c r="E778" i="3" l="1"/>
  <c r="H778" i="3" s="1"/>
  <c r="K778" i="3" s="1"/>
  <c r="AE778" i="3" s="1"/>
  <c r="AG778" i="3"/>
  <c r="D778" i="3"/>
  <c r="G778" i="3" s="1"/>
  <c r="F778" i="3" l="1"/>
  <c r="I778" i="3"/>
  <c r="J778" i="3"/>
  <c r="AD778" i="3" s="1"/>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P785" i="3"/>
  <c r="Q785" i="3" s="1"/>
  <c r="R785" i="3" s="1"/>
  <c r="S785" i="3" s="1"/>
  <c r="AC785" i="3"/>
  <c r="Z785" i="3"/>
  <c r="U784" i="3" l="1"/>
  <c r="Y783" i="3"/>
  <c r="T785" i="3"/>
  <c r="AH785" i="3" s="1"/>
  <c r="E785" i="3" l="1"/>
  <c r="H785" i="3" s="1"/>
  <c r="AG785" i="3"/>
  <c r="D785" i="3"/>
  <c r="K785" i="3" l="1"/>
  <c r="AE785" i="3" s="1"/>
  <c r="F785" i="3"/>
  <c r="G785" i="3"/>
  <c r="I785" i="3" l="1"/>
  <c r="J785" i="3"/>
  <c r="AD785" i="3" s="1"/>
  <c r="M785" i="3"/>
  <c r="N785" i="3" s="1"/>
  <c r="V785" i="3"/>
  <c r="A786" i="3"/>
  <c r="B786" i="3" s="1"/>
  <c r="W785" i="3" l="1"/>
  <c r="L785" i="3"/>
  <c r="Z786" i="3"/>
  <c r="AA786" i="3"/>
  <c r="P786" i="3"/>
  <c r="Q786" i="3" s="1"/>
  <c r="R786" i="3" s="1"/>
  <c r="S786" i="3" s="1"/>
  <c r="AC786" i="3"/>
  <c r="U785" i="3" l="1"/>
  <c r="Y784" i="3"/>
  <c r="T786" i="3"/>
  <c r="E786" i="3" l="1"/>
  <c r="H786" i="3" s="1"/>
  <c r="K786" i="3" s="1"/>
  <c r="AE786" i="3" s="1"/>
  <c r="AG786" i="3"/>
  <c r="D786" i="3"/>
  <c r="G786" i="3" s="1"/>
  <c r="AH786" i="3"/>
  <c r="F786" i="3" l="1"/>
  <c r="I786" i="3"/>
  <c r="J786" i="3"/>
  <c r="AD786" i="3" s="1"/>
  <c r="M786" i="3"/>
  <c r="N786" i="3" s="1"/>
  <c r="V786" i="3"/>
  <c r="A787" i="3"/>
  <c r="B787" i="3" s="1"/>
  <c r="L786" i="3" l="1"/>
  <c r="W786" i="3"/>
  <c r="AC787" i="3"/>
  <c r="P787" i="3"/>
  <c r="Q787" i="3" s="1"/>
  <c r="R787" i="3" s="1"/>
  <c r="S787" i="3" s="1"/>
  <c r="Z787" i="3"/>
  <c r="AA787" i="3"/>
  <c r="U786" i="3" l="1"/>
  <c r="Y785" i="3"/>
  <c r="T787" i="3"/>
  <c r="D787" i="3" l="1"/>
  <c r="G787" i="3" s="1"/>
  <c r="AH787" i="3"/>
  <c r="E787" i="3"/>
  <c r="H787" i="3" s="1"/>
  <c r="AG787" i="3"/>
  <c r="F787" i="3" l="1"/>
  <c r="I787" i="3"/>
  <c r="J787" i="3"/>
  <c r="AD787" i="3" s="1"/>
  <c r="M787" i="3"/>
  <c r="N787" i="3" s="1"/>
  <c r="K787" i="3"/>
  <c r="AE787" i="3" s="1"/>
  <c r="V787" i="3" l="1"/>
  <c r="W787" i="3" s="1"/>
  <c r="A788" i="3"/>
  <c r="B788" i="3" s="1"/>
  <c r="L787" i="3"/>
  <c r="U787" i="3" l="1"/>
  <c r="Y786" i="3"/>
  <c r="AC788" i="3"/>
  <c r="Z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W788" i="3"/>
  <c r="P789" i="3"/>
  <c r="Q789" i="3" s="1"/>
  <c r="R789" i="3" s="1"/>
  <c r="S789" i="3" s="1"/>
  <c r="AC789" i="3"/>
  <c r="AA789" i="3"/>
  <c r="Z789" i="3"/>
  <c r="L788" i="3" l="1"/>
  <c r="U788" i="3" s="1"/>
  <c r="AD788" i="3"/>
  <c r="T789" i="3"/>
  <c r="Y787" i="3" l="1"/>
  <c r="D789" i="3"/>
  <c r="G789" i="3" s="1"/>
  <c r="E789" i="3"/>
  <c r="H789" i="3" s="1"/>
  <c r="AH789" i="3"/>
  <c r="AG789" i="3"/>
  <c r="F789" i="3" l="1"/>
  <c r="I789" i="3"/>
  <c r="J789" i="3"/>
  <c r="AD789" i="3" s="1"/>
  <c r="M789" i="3"/>
  <c r="N789" i="3" s="1"/>
  <c r="K789" i="3"/>
  <c r="AE789" i="3" s="1"/>
  <c r="L789" i="3" l="1"/>
  <c r="V789" i="3"/>
  <c r="W789" i="3" s="1"/>
  <c r="A790" i="3"/>
  <c r="B790" i="3" s="1"/>
  <c r="AA790" i="3" l="1"/>
  <c r="AC790" i="3"/>
  <c r="Z790" i="3"/>
  <c r="P790" i="3"/>
  <c r="Q790" i="3" s="1"/>
  <c r="R790" i="3" s="1"/>
  <c r="S790" i="3" s="1"/>
  <c r="U789" i="3"/>
  <c r="Y788" i="3"/>
  <c r="T790" i="3" l="1"/>
  <c r="D790" i="3" s="1"/>
  <c r="AG790" i="3" l="1"/>
  <c r="G790" i="3"/>
  <c r="AH790" i="3"/>
  <c r="E790" i="3"/>
  <c r="H790" i="3" s="1"/>
  <c r="F790" i="3" l="1"/>
  <c r="I790" i="3"/>
  <c r="J790" i="3"/>
  <c r="AD790" i="3" s="1"/>
  <c r="M790" i="3"/>
  <c r="N790" i="3" s="1"/>
  <c r="K790" i="3"/>
  <c r="AE790" i="3" s="1"/>
  <c r="V790" i="3" l="1"/>
  <c r="W790" i="3" s="1"/>
  <c r="A791" i="3"/>
  <c r="B791" i="3" s="1"/>
  <c r="L790" i="3"/>
  <c r="U790" i="3" l="1"/>
  <c r="Y789" i="3"/>
  <c r="P791" i="3"/>
  <c r="Q791" i="3" s="1"/>
  <c r="R791" i="3" s="1"/>
  <c r="S791" i="3" s="1"/>
  <c r="AA791" i="3"/>
  <c r="AC791" i="3"/>
  <c r="Z791" i="3"/>
  <c r="T791" i="3" l="1"/>
  <c r="AG791" i="3" s="1"/>
  <c r="E791" i="3" l="1"/>
  <c r="H791" i="3" s="1"/>
  <c r="K791" i="3" s="1"/>
  <c r="AE791" i="3" s="1"/>
  <c r="D791" i="3"/>
  <c r="G791" i="3" s="1"/>
  <c r="AH791" i="3"/>
  <c r="F791" i="3" l="1"/>
  <c r="I791" i="3"/>
  <c r="J791" i="3"/>
  <c r="AD791" i="3" s="1"/>
  <c r="M791" i="3"/>
  <c r="N791" i="3" s="1"/>
  <c r="V791" i="3"/>
  <c r="A792" i="3"/>
  <c r="B792" i="3" s="1"/>
  <c r="W791" i="3" l="1"/>
  <c r="L791" i="3"/>
  <c r="P792" i="3"/>
  <c r="Q792" i="3" s="1"/>
  <c r="R792" i="3" s="1"/>
  <c r="S792" i="3" s="1"/>
  <c r="AC792" i="3"/>
  <c r="Z792" i="3"/>
  <c r="AA792" i="3"/>
  <c r="U791" i="3" l="1"/>
  <c r="Y790" i="3"/>
  <c r="T792" i="3"/>
  <c r="AG792" i="3" s="1"/>
  <c r="AH792" i="3" l="1"/>
  <c r="D792" i="3"/>
  <c r="E792" i="3"/>
  <c r="H792" i="3" s="1"/>
  <c r="F792" i="3" l="1"/>
  <c r="G792" i="3"/>
  <c r="K792" i="3"/>
  <c r="AE792" i="3" s="1"/>
  <c r="I792" i="3" l="1"/>
  <c r="J792" i="3"/>
  <c r="AD792" i="3" s="1"/>
  <c r="M792" i="3"/>
  <c r="N792" i="3" s="1"/>
  <c r="V792" i="3"/>
  <c r="A793" i="3"/>
  <c r="B793" i="3" s="1"/>
  <c r="L792" i="3" l="1"/>
  <c r="W792"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Z794" i="3"/>
  <c r="AC794" i="3"/>
  <c r="P794" i="3"/>
  <c r="Q794" i="3" s="1"/>
  <c r="R794" i="3" s="1"/>
  <c r="S794" i="3" s="1"/>
  <c r="AA794" i="3"/>
  <c r="L793" i="3" l="1"/>
  <c r="Y792" i="3" s="1"/>
  <c r="AD793" i="3"/>
  <c r="T794" i="3"/>
  <c r="U793" i="3" l="1"/>
  <c r="D794" i="3" s="1"/>
  <c r="AH794" i="3"/>
  <c r="AG794" i="3"/>
  <c r="E794" i="3" l="1"/>
  <c r="H794" i="3" s="1"/>
  <c r="K794" i="3" s="1"/>
  <c r="AE794" i="3" s="1"/>
  <c r="G794" i="3"/>
  <c r="F794" i="3" l="1"/>
  <c r="I794" i="3"/>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T798" i="3" l="1"/>
  <c r="U797" i="3"/>
  <c r="Y796" i="3"/>
  <c r="E798" i="3" l="1"/>
  <c r="H798" i="3" s="1"/>
  <c r="K798" i="3" s="1"/>
  <c r="AE798" i="3" s="1"/>
  <c r="D798" i="3"/>
  <c r="G798" i="3" s="1"/>
  <c r="AH798" i="3"/>
  <c r="AG798" i="3"/>
  <c r="F798" i="3" l="1"/>
  <c r="I798" i="3"/>
  <c r="J798" i="3"/>
  <c r="AD798" i="3" s="1"/>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C808" i="3"/>
  <c r="U807" i="3" l="1"/>
  <c r="Y806" i="3"/>
  <c r="T808" i="3"/>
  <c r="AH808" i="3" s="1"/>
  <c r="D808" i="3" l="1"/>
  <c r="G808" i="3" s="1"/>
  <c r="E808" i="3"/>
  <c r="H808" i="3" s="1"/>
  <c r="K808" i="3" s="1"/>
  <c r="AE808" i="3" s="1"/>
  <c r="AG808" i="3"/>
  <c r="F808" i="3" l="1"/>
  <c r="I808" i="3"/>
  <c r="J808" i="3"/>
  <c r="AD808" i="3" s="1"/>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AD818" i="3" s="1"/>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P828" i="3"/>
  <c r="Q828" i="3" s="1"/>
  <c r="R828" i="3" s="1"/>
  <c r="S828" i="3" s="1"/>
  <c r="AC828" i="3"/>
  <c r="AA828" i="3"/>
  <c r="Z828" i="3"/>
  <c r="U827" i="3" l="1"/>
  <c r="Y826" i="3"/>
  <c r="T828" i="3"/>
  <c r="D828" i="3" l="1"/>
  <c r="G828" i="3" s="1"/>
  <c r="AG828" i="3"/>
  <c r="AH828" i="3"/>
  <c r="E828" i="3"/>
  <c r="H828" i="3" s="1"/>
  <c r="F828" i="3" l="1"/>
  <c r="I828" i="3"/>
  <c r="J828" i="3"/>
  <c r="AD828" i="3" s="1"/>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U837" i="3" l="1"/>
  <c r="Y836" i="3"/>
  <c r="T838" i="3"/>
  <c r="AH838" i="3" s="1"/>
  <c r="E838" i="3" l="1"/>
  <c r="H838" i="3" s="1"/>
  <c r="D838" i="3"/>
  <c r="AG838" i="3"/>
  <c r="K838" i="3" l="1"/>
  <c r="AE838" i="3" s="1"/>
  <c r="F838" i="3"/>
  <c r="G838" i="3"/>
  <c r="V838" i="3" l="1"/>
  <c r="A839" i="3"/>
  <c r="B839" i="3" s="1"/>
  <c r="I838" i="3"/>
  <c r="J838" i="3"/>
  <c r="AD838" i="3" s="1"/>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AD848" i="3" s="1"/>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AD858" i="3" s="1"/>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Z868" i="3"/>
  <c r="AA868" i="3"/>
  <c r="AC868" i="3"/>
  <c r="P868" i="3"/>
  <c r="Q868" i="3" s="1"/>
  <c r="R868" i="3" s="1"/>
  <c r="S868" i="3" s="1"/>
  <c r="T868" i="3" l="1"/>
  <c r="U867" i="3"/>
  <c r="Y866" i="3"/>
  <c r="E868" i="3" l="1"/>
  <c r="H868" i="3" s="1"/>
  <c r="K868" i="3" s="1"/>
  <c r="AE868" i="3" s="1"/>
  <c r="AH868" i="3"/>
  <c r="D868" i="3"/>
  <c r="G868" i="3" s="1"/>
  <c r="AG868" i="3"/>
  <c r="F868" i="3" l="1"/>
  <c r="I868" i="3"/>
  <c r="J868" i="3"/>
  <c r="AD868" i="3" s="1"/>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C878" i="3"/>
  <c r="AA878" i="3"/>
  <c r="P878" i="3"/>
  <c r="Q878" i="3" s="1"/>
  <c r="R878" i="3" s="1"/>
  <c r="S878" i="3" s="1"/>
  <c r="T878" i="3" l="1"/>
  <c r="E878" i="3" s="1"/>
  <c r="H878" i="3" s="1"/>
  <c r="D878" i="3" l="1"/>
  <c r="G878" i="3" s="1"/>
  <c r="AG878" i="3"/>
  <c r="AH878" i="3"/>
  <c r="K878" i="3"/>
  <c r="AE878" i="3" s="1"/>
  <c r="F878" i="3" l="1"/>
  <c r="I878" i="3"/>
  <c r="J878" i="3"/>
  <c r="AD878" i="3" s="1"/>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A888" i="3"/>
  <c r="Z888" i="3"/>
  <c r="P888" i="3"/>
  <c r="Q888" i="3" s="1"/>
  <c r="R888" i="3" s="1"/>
  <c r="S888" i="3" s="1"/>
  <c r="T888" i="3" l="1"/>
  <c r="U887" i="3"/>
  <c r="Y886" i="3"/>
  <c r="E888" i="3" l="1"/>
  <c r="H888" i="3" s="1"/>
  <c r="K888" i="3" s="1"/>
  <c r="AE888" i="3" s="1"/>
  <c r="D888" i="3"/>
  <c r="G888" i="3" s="1"/>
  <c r="AG888" i="3"/>
  <c r="AH888" i="3"/>
  <c r="F888" i="3" l="1"/>
  <c r="I888" i="3"/>
  <c r="J888" i="3"/>
  <c r="AD888" i="3" s="1"/>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P898" i="3"/>
  <c r="Q898" i="3" s="1"/>
  <c r="R898" i="3" s="1"/>
  <c r="S898" i="3" s="1"/>
  <c r="Z898" i="3"/>
  <c r="AC898" i="3"/>
  <c r="U897" i="3"/>
  <c r="Y896" i="3"/>
  <c r="T898" i="3" l="1"/>
  <c r="D898" i="3" s="1"/>
  <c r="G898" i="3" l="1"/>
  <c r="AG898" i="3"/>
  <c r="E898" i="3"/>
  <c r="H898" i="3" s="1"/>
  <c r="AH898" i="3"/>
  <c r="F898" i="3" l="1"/>
  <c r="I898" i="3"/>
  <c r="J898" i="3"/>
  <c r="AD898" i="3" s="1"/>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C908" i="3"/>
  <c r="T908" i="3" l="1"/>
  <c r="L907" i="3"/>
  <c r="AG908" i="3" l="1"/>
  <c r="AH908" i="3"/>
  <c r="U907" i="3"/>
  <c r="E908" i="3" s="1"/>
  <c r="H908" i="3" s="1"/>
  <c r="Y906" i="3"/>
  <c r="D908" i="3" l="1"/>
  <c r="G908" i="3" s="1"/>
  <c r="K908" i="3"/>
  <c r="AE908" i="3" s="1"/>
  <c r="F908" i="3" l="1"/>
  <c r="I908" i="3"/>
  <c r="J908" i="3"/>
  <c r="AD908" i="3" s="1"/>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A928" i="3"/>
  <c r="Z928" i="3"/>
  <c r="P928" i="3"/>
  <c r="Q928" i="3" s="1"/>
  <c r="R928" i="3" s="1"/>
  <c r="S928" i="3" s="1"/>
  <c r="T928" i="3" l="1"/>
  <c r="D928" i="3" s="1"/>
  <c r="AH928" i="3" l="1"/>
  <c r="E928" i="3"/>
  <c r="H928" i="3" s="1"/>
  <c r="K928" i="3" s="1"/>
  <c r="AE928" i="3" s="1"/>
  <c r="AG928" i="3"/>
  <c r="G928" i="3"/>
  <c r="F928" i="3" l="1"/>
  <c r="I928" i="3"/>
  <c r="J928" i="3"/>
  <c r="AD928" i="3" s="1"/>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T938" i="3" l="1"/>
  <c r="AG938" i="3" s="1"/>
  <c r="U937" i="3"/>
  <c r="Y936" i="3"/>
  <c r="D938" i="3" l="1"/>
  <c r="AH938" i="3"/>
  <c r="E938" i="3"/>
  <c r="H938" i="3" s="1"/>
  <c r="F938" i="3" l="1"/>
  <c r="G938" i="3"/>
  <c r="J938" i="3" s="1"/>
  <c r="AD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L967" i="3" l="1"/>
  <c r="T968" i="3"/>
  <c r="AH968" i="3" l="1"/>
  <c r="AG968" i="3"/>
  <c r="U967" i="3"/>
  <c r="E968" i="3" s="1"/>
  <c r="H968" i="3" s="1"/>
  <c r="Y966" i="3"/>
  <c r="K968" i="3" l="1"/>
  <c r="AE968" i="3" s="1"/>
  <c r="D968" i="3"/>
  <c r="V968" i="3" l="1"/>
  <c r="A969" i="3"/>
  <c r="B969" i="3" s="1"/>
  <c r="F968" i="3"/>
  <c r="G968" i="3"/>
  <c r="I968" i="3" l="1"/>
  <c r="W968" i="3" s="1"/>
  <c r="J968" i="3"/>
  <c r="AD968" i="3" s="1"/>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Z978" i="3"/>
  <c r="AA978" i="3"/>
  <c r="P978" i="3"/>
  <c r="Q978" i="3" s="1"/>
  <c r="R978" i="3" s="1"/>
  <c r="S978" i="3" s="1"/>
  <c r="T978" i="3" l="1"/>
  <c r="U977" i="3"/>
  <c r="Y976" i="3"/>
  <c r="D978" i="3" l="1"/>
  <c r="G978" i="3" s="1"/>
  <c r="E978" i="3"/>
  <c r="H978" i="3" s="1"/>
  <c r="K978" i="3" s="1"/>
  <c r="AE978" i="3" s="1"/>
  <c r="AH978" i="3"/>
  <c r="AG978" i="3"/>
  <c r="F978" i="3" l="1"/>
  <c r="I978" i="3"/>
  <c r="J978" i="3"/>
  <c r="AD978" i="3" s="1"/>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C998" i="3"/>
  <c r="AA998" i="3"/>
  <c r="T998" i="3" l="1"/>
  <c r="AG998" i="3" s="1"/>
  <c r="U997" i="3"/>
  <c r="Y996" i="3"/>
  <c r="E998" i="3" l="1"/>
  <c r="H998" i="3" s="1"/>
  <c r="K998" i="3" s="1"/>
  <c r="AE998" i="3" s="1"/>
  <c r="AH998" i="3"/>
  <c r="D998" i="3"/>
  <c r="V998" i="3" l="1"/>
  <c r="A999" i="3"/>
  <c r="B999" i="3" s="1"/>
  <c r="F998" i="3"/>
  <c r="G998" i="3"/>
  <c r="I998" i="3" l="1"/>
  <c r="W998" i="3" s="1"/>
  <c r="J998" i="3"/>
  <c r="AD998" i="3" s="1"/>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H27" i="1"/>
  <c r="J31" i="7" s="1"/>
  <c r="L45" i="1"/>
  <c r="M45" i="1"/>
  <c r="K45" i="1"/>
  <c r="H45" i="1"/>
  <c r="I46" i="1"/>
  <c r="H46" i="1"/>
  <c r="J27" i="1"/>
  <c r="D164" i="1" s="1"/>
  <c r="M46" i="1"/>
  <c r="K27" i="1"/>
  <c r="K31" i="7" s="1"/>
  <c r="L46" i="1"/>
  <c r="I27" i="1"/>
  <c r="B164" i="1" s="1"/>
  <c r="I45" i="1"/>
  <c r="J46" i="1"/>
  <c r="H29" i="1"/>
  <c r="F155" i="1" s="1"/>
  <c r="M31" i="7"/>
  <c r="E121" i="7"/>
  <c r="F121" i="7" s="1"/>
  <c r="H116" i="7"/>
  <c r="H58" i="7"/>
  <c r="E64" i="7"/>
  <c r="F64" i="7" s="1"/>
  <c r="L43" i="1" l="1"/>
  <c r="K24" i="1"/>
  <c r="S26" i="6" s="1"/>
  <c r="K43" i="1"/>
  <c r="I43" i="1"/>
  <c r="J43" i="1"/>
  <c r="H55" i="7"/>
  <c r="H112" i="7"/>
  <c r="H53" i="7"/>
  <c r="P32" i="1"/>
  <c r="P33" i="1"/>
  <c r="I67" i="7"/>
  <c r="H43" i="1"/>
  <c r="K46" i="1"/>
  <c r="H47" i="1"/>
  <c r="M47" i="1"/>
  <c r="L47" i="1"/>
  <c r="K47" i="1"/>
  <c r="K29" i="1" s="1"/>
  <c r="M29" i="1" s="1"/>
  <c r="J47" i="1"/>
  <c r="J29"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D180" i="1"/>
  <c r="F201" i="1"/>
  <c r="D163" i="1"/>
  <c r="F200" i="1"/>
  <c r="D165" i="1"/>
  <c r="D173" i="1"/>
  <c r="D184" i="1"/>
  <c r="F168" i="1"/>
  <c r="F169" i="1"/>
  <c r="D193" i="1"/>
  <c r="F186" i="1"/>
  <c r="F170" i="1"/>
  <c r="D174" i="1"/>
  <c r="D172" i="1"/>
  <c r="F176" i="1"/>
  <c r="D182" i="1"/>
  <c r="D192" i="1"/>
  <c r="D186" i="1"/>
  <c r="F164" i="1"/>
  <c r="F199" i="1"/>
  <c r="D196" i="1"/>
  <c r="F183" i="1"/>
  <c r="D191" i="1"/>
  <c r="F189" i="1"/>
  <c r="F163" i="1"/>
  <c r="F177" i="1"/>
  <c r="D166" i="1"/>
  <c r="D187" i="1"/>
  <c r="D198" i="1"/>
  <c r="F195" i="1"/>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H44" i="7" l="1"/>
  <c r="H11" i="7"/>
  <c r="P31" i="1"/>
  <c r="F22" i="1"/>
  <c r="B152" i="1"/>
  <c r="H115" i="7"/>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<sst xmlns="http://schemas.openxmlformats.org/spreadsheetml/2006/main" count="1735" uniqueCount="575">
  <si>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</si>
  <si>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</si>
  <si>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</si>
  <si>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</si>
  <si>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</si>
  <si>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</si>
  <si>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</si>
  <si>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</si>
  <si>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</si>
  <si>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</si>
  <si>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</si>
  <si>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</si>
  <si>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</si>
  <si>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</si>
  <si>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</si>
  <si>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</si>
  <si>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</si>
  <si>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</si>
  <si>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</si>
  <si>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</si>
  <si>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</si>
  <si>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</si>
  <si>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</si>
  <si>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</si>
  <si>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</si>
  <si>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</si>
  <si>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</si>
  <si>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</si>
  <si>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</si>
  <si>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</si>
  <si>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</si>
  <si>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</si>
  <si>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</si>
  <si>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</si>
  <si>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</si>
  <si>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</si>
  <si>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</si>
  <si>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</si>
  <si>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</si>
  <si>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</si>
  <si>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</si>
  <si>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</si>
  <si>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</si>
  <si>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</si>
  <si>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</si>
  <si>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</si>
  <si>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</si>
  <si>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</si>
  <si>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</si>
  <si>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</si>
  <si>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</si>
  <si>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</si>
  <si>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</si>
  <si>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</si>
  <si>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</si>
  <si>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</si>
  <si>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</si>
  <si>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</si>
  <si>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</si>
  <si>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</si>
  <si>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</si>
  <si>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</si>
  <si>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</si>
  <si>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</si>
  <si>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</si>
  <si>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</si>
  <si>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</si>
  <si>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</si>
  <si>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</si>
  <si>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</si>
  <si>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</si>
  <si>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</si>
  <si>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</si>
  <si>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</si>
  <si>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</si>
  <si>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</si>
  <si>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</si>
  <si>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</si>
  <si>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</si>
  <si>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</si>
  <si>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</si>
  <si>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</si>
  <si>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</si>
  <si>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</si>
  <si>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</si>
  <si>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</si>
  <si>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</si>
  <si>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</si>
  <si>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</si>
  <si>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</si>
  <si>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</si>
  <si>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</si>
  <si>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</si>
  <si>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</si>
  <si>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</si>
  <si>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</si>
  <si>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</si>
  <si>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</si>
  <si>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</si>
  <si>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</si>
  <si>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</si>
  <si>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</si>
  <si>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</si>
  <si>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</si>
  <si>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</si>
  <si>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</si>
  <si>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</si>
  <si>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</si>
  <si>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</si>
  <si>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</si>
  <si>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</si>
  <si>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</si>
  <si>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</si>
  <si>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</si>
  <si>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</si>
  <si>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</si>
  <si>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</si>
  <si>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</si>
  <si>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</si>
  <si>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</si>
  <si>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</si>
  <si>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</si>
  <si>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</si>
  <si>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</si>
  <si>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</si>
  <si>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</si>
  <si>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</si>
  <si>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</si>
  <si>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</si>
  <si>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</si>
  <si>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</si>
  <si>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</si>
  <si>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</si>
  <si>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</si>
  <si>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</si>
  <si>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</si>
  <si>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</si>
  <si>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</si>
  <si>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</si>
  <si>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</si>
  <si>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</si>
  <si>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</si>
  <si>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</si>
  <si>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</si>
  <si>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</si>
  <si>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</si>
  <si>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</si>
  <si>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</si>
  <si>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</si>
  <si>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</si>
  <si>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</si>
  <si>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</si>
  <si>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</si>
  <si>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</si>
  <si>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</si>
  <si>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</si>
  <si>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</si>
  <si>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</si>
  <si>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</si>
  <si>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</si>
  <si>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</si>
  <si>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</si>
  <si>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</si>
  <si>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</si>
  <si>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</si>
  <si>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</si>
  <si>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</si>
  <si>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</si>
  <si>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</si>
  <si>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</si>
  <si>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</si>
  <si>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</si>
  <si>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</si>
  <si>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</si>
  <si>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</si>
  <si>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</si>
  <si>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</si>
  <si>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</si>
  <si>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</si>
  <si>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</si>
  <si>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</si>
  <si>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</si>
  <si>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</si>
  <si>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</si>
  <si>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</si>
  <si>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</si>
  <si>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</si>
  <si>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</si>
  <si>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</si>
  <si>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</si>
  <si>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</si>
  <si>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</si>
  <si>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</si>
  <si>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</si>
  <si>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</si>
  <si>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</si>
  <si>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</si>
  <si>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</si>
  <si>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</si>
  <si>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</si>
  <si>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</si>
  <si>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</si>
  <si>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</si>
  <si>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</si>
  <si>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</si>
  <si>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</si>
  <si>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</si>
  <si>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</si>
  <si>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</si>
  <si>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</si>
  <si>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</si>
  <si>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</si>
  <si>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</si>
  <si>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</si>
  <si>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</si>
  <si>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</si>
  <si>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</si>
  <si>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</si>
  <si>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</si>
  <si>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</si>
  <si>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</si>
  <si>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</si>
  <si>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</si>
  <si>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</si>
  <si>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</si>
  <si>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</si>
  <si>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</si>
  <si>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</si>
  <si>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</si>
  <si>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</si>
  <si>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</si>
  <si>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</si>
  <si>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</si>
  <si>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</si>
  <si>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</si>
  <si>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</si>
  <si>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</si>
  <si>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</si>
  <si>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</si>
  <si>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</si>
  <si>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</si>
  <si>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</si>
  <si>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</si>
  <si>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</si>
  <si>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</si>
  <si>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</si>
  <si>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</si>
  <si>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</si>
  <si>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</si>
  <si>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</si>
  <si>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</si>
  <si>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</si>
  <si>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</si>
  <si>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</si>
  <si>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</si>
  <si>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</si>
  <si>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</si>
  <si>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</si>
  <si>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</si>
  <si>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</si>
  <si>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</si>
  <si>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</si>
  <si>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</si>
  <si>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</si>
  <si>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</si>
  <si>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</si>
  <si>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</si>
  <si>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</si>
  <si>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</si>
  <si>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</si>
  <si>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</si>
  <si>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</si>
  <si>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</si>
  <si>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</si>
  <si>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</si>
  <si>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</si>
  <si>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</si>
  <si>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</si>
  <si>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</si>
  <si>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</si>
  <si>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</si>
  <si>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</si>
  <si>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</si>
  <si>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</si>
  <si>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</si>
  <si>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</si>
  <si>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</si>
  <si>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</si>
  <si>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</si>
  <si>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</si>
  <si>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</si>
  <si>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</si>
  <si>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</si>
  <si>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</si>
  <si>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</si>
  <si>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</si>
  <si>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</si>
  <si>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</si>
  <si>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</si>
  <si>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</si>
  <si>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</si>
  <si>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</si>
  <si>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</si>
  <si>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</si>
  <si>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</si>
  <si>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</si>
  <si>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</si>
  <si>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</si>
  <si>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</si>
  <si>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</si>
  <si>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</si>
  <si>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</si>
  <si>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</si>
  <si>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</si>
  <si>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</si>
  <si>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</si>
  <si>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</si>
  <si>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</si>
  <si>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</si>
  <si>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</si>
  <si>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</si>
  <si>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</si>
  <si>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</si>
  <si>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</si>
  <si>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</si>
  <si>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</si>
  <si>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</si>
  <si>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</si>
  <si>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</si>
  <si>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</si>
  <si>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</si>
  <si>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</si>
  <si>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</si>
  <si>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</si>
  <si>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</si>
  <si>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</si>
  <si>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</si>
  <si>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</si>
  <si>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</si>
  <si>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</si>
  <si>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</si>
  <si>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</si>
  <si>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</si>
  <si>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</si>
  <si>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</si>
  <si>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</si>
  <si>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</si>
  <si>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</si>
  <si>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</si>
  <si>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</si>
  <si>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</si>
  <si>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</si>
  <si>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</si>
  <si>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</si>
  <si>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</si>
  <si>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</si>
  <si>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</si>
  <si>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</si>
  <si>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</si>
  <si>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</si>
  <si>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</si>
  <si>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</si>
  <si>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</si>
  <si>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</si>
  <si>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</si>
  <si>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</si>
  <si>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</si>
  <si>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</si>
  <si>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</si>
  <si>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</si>
  <si>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</si>
  <si>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</si>
  <si>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</si>
  <si>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</si>
  <si>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</si>
  <si>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</si>
  <si>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</si>
  <si>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</si>
  <si>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</si>
  <si>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</si>
  <si>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</si>
  <si>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</si>
  <si>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</si>
  <si>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</si>
  <si>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</si>
  <si>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</si>
  <si>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</si>
  <si>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</si>
  <si>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</si>
  <si>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</si>
  <si>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</si>
  <si>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</si>
  <si>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</si>
  <si>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</si>
  <si>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</si>
  <si>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</si>
  <si>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</si>
  <si>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</si>
  <si>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</si>
  <si>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</si>
  <si>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</si>
  <si>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</si>
  <si>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</si>
  <si>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</si>
  <si>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</si>
  <si>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</si>
  <si>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</si>
  <si>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</si>
  <si>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</si>
  <si>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</si>
  <si>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</si>
  <si>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</si>
  <si>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</si>
  <si>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</si>
  <si>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</si>
  <si>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</si>
  <si>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</si>
  <si>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</si>
  <si>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</si>
  <si>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</si>
  <si>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</si>
  <si>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</si>
  <si>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</si>
  <si>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</si>
  <si>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</si>
  <si>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</si>
  <si>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</si>
  <si>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</si>
  <si>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</si>
  <si>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</si>
  <si>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</si>
  <si>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</si>
  <si>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</si>
  <si>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</si>
  <si>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</si>
  <si>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</si>
  <si>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</si>
  <si>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</si>
  <si>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</si>
  <si>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</si>
  <si>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</si>
  <si>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</si>
  <si>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</si>
  <si>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</si>
  <si>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</si>
  <si>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</si>
  <si>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</si>
  <si>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</si>
  <si>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</si>
  <si>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</si>
  <si>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</si>
  <si>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</si>
  <si>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</si>
  <si>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</si>
  <si>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</si>
  <si>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</si>
  <si>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</si>
  <si>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</si>
  <si>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</si>
  <si>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</si>
  <si>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</si>
  <si>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</si>
  <si>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</si>
  <si>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</si>
  <si>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</si>
  <si>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</si>
  <si>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</si>
  <si>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</si>
  <si>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</si>
  <si>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</si>
  <si>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</si>
  <si>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</si>
  <si>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</si>
  <si>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</si>
  <si>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</si>
  <si>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</si>
  <si>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</si>
  <si>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</si>
  <si>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</si>
  <si>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</si>
  <si>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</si>
  <si>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</si>
  <si>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</si>
  <si>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</si>
  <si>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</si>
  <si>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</si>
  <si>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</si>
  <si>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</si>
  <si>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</si>
  <si>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</si>
  <si>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</si>
  <si>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</si>
  <si>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</si>
  <si>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</si>
  <si>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</si>
  <si>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</si>
  <si>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</si>
  <si>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</si>
  <si>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</si>
  <si>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</si>
  <si>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</si>
  <si>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</si>
  <si>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</si>
  <si>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</si>
  <si>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</si>
  <si>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</si>
  <si>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</si>
  <si>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</si>
  <si>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</si>
  <si>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</si>
  <si>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</si>
  <si>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</si>
  <si>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</si>
  <si>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</si>
  <si>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</si>
  <si>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</si>
  <si>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</si>
  <si>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</si>
  <si>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</si>
  <si>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</si>
  <si>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</si>
  <si>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</si>
  <si>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</si>
  <si>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</si>
  <si>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</si>
  <si>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</si>
  <si>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</si>
  <si>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</si>
  <si>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</si>
  <si>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</si>
  <si>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</si>
  <si>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</si>
  <si>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</si>
  <si>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</si>
  <si>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</si>
  <si>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</si>
  <si>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</si>
  <si>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</si>
  <si>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</si>
  <si>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</si>
  <si>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</si>
  <si>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</si>
  <si>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</si>
  <si>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</si>
  <si>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</si>
  <si>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</si>
  <si>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</si>
  <si>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</si>
  <si>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</si>
  <si>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</si>
  <si>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</si>
  <si>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</si>
  <si>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</si>
  <si>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</si>
  <si>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</si>
  <si>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</si>
  <si>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</si>
  <si>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</si>
  <si>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</si>
  <si>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</si>
  <si>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</si>
  <si>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</si>
  <si>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</si>
  <si>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</si>
  <si>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</si>
  <si>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</si>
  <si>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</si>
  <si>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</si>
  <si>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L'AéroIPSA</t>
  </si>
  <si>
    <t>Conique (droite)</t>
  </si>
  <si>
    <t>Plusieurs diamètres.</t>
  </si>
  <si>
    <t>SP02-Alpha</t>
  </si>
  <si>
    <t>OpenRocket</t>
  </si>
  <si>
    <t>MS</t>
  </si>
  <si>
    <t>Cnalpha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</si>
</sst>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2"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45" fillId="0" borderId="83" xfId="2" applyFont="1" applyBorder="1" applyAlignment="1">
      <alignment horizontal="center"/>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0" fontId="2" fillId="12" borderId="15" xfId="0" applyFont="1" applyFill="1" applyBorder="1" applyAlignment="1" applyProtection="1">
      <alignment horizontal="center"/>
      <protection hidden="1"/>
    </xf>
    <xf numFmtId="166" fontId="2" fillId="17" borderId="46" xfId="0" applyNumberFormat="1" applyFont="1" applyFill="1" applyBorder="1" applyAlignment="1">
      <alignment horizontal="center" vertical="center"/>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0" fillId="0" borderId="0" xfId="0" applyAlignment="1">
      <alignment horizontal="center"/>
    </xf>
    <xf numFmtId="0" fontId="0" fillId="30" borderId="21" xfId="0" applyFill="1" applyBorder="1" applyAlignment="1">
      <alignment horizontal="center"/>
    </xf>
    <xf numFmtId="0" fontId="0" fillId="30" borderId="23" xfId="0" applyFill="1" applyBorder="1" applyAlignment="1">
      <alignment horizontal="center"/>
    </xf>
    <xf numFmtId="0" fontId="0" fillId="0" borderId="0" xfId="0"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0" borderId="33" xfId="0"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0" borderId="33" xfId="0"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0" fontId="2" fillId="0" borderId="12" xfId="0" applyFont="1" applyBorder="1" applyAlignment="1">
      <alignment horizontal="center" vertical="center"/>
    </xf>
    <xf numFmtId="0" fontId="2" fillId="0" borderId="102" xfId="0"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xf numFmtId="165" fontId="2" fillId="0" borderId="12" xfId="0" applyNumberFormat="1" applyFont="1" applyBorder="1" applyAlignment="1">
      <alignment horizontal="center" vertical="center"/>
    </xf>
    <xf numFmtId="1" fontId="2" fillId="0" borderId="12" xfId="0" applyNumberFormat="1" applyFont="1" applyBorder="1" applyAlignment="1">
      <alignment horizontal="center" vertic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42</c:v>
                </c:pt>
                <c:pt idx="2">
                  <c:v>42</c:v>
                </c:pt>
                <c:pt idx="3">
                  <c:v>42</c:v>
                </c:pt>
                <c:pt idx="4">
                  <c:v>42</c:v>
                </c:pt>
                <c:pt idx="5">
                  <c:v>42</c:v>
                </c:pt>
                <c:pt idx="6">
                  <c:v>42</c:v>
                </c:pt>
                <c:pt idx="7">
                  <c:v>0</c:v>
                </c:pt>
              </c:numCache>
            </c:numRef>
          </c:xVal>
          <c:yVal>
            <c:numRef>
              <c:f>Stabilito!$C$124:$C$131</c:f>
              <c:numCache>
                <c:formatCode>0</c:formatCode>
                <c:ptCount val="8"/>
                <c:pt idx="0">
                  <c:v>-252</c:v>
                </c:pt>
                <c:pt idx="1">
                  <c:v>-252</c:v>
                </c:pt>
                <c:pt idx="2">
                  <c:v>-252</c:v>
                </c:pt>
                <c:pt idx="3">
                  <c:v>-252</c:v>
                </c:pt>
                <c:pt idx="4">
                  <c:v>-252</c:v>
                </c:pt>
                <c:pt idx="5">
                  <c:v>-252</c:v>
                </c:pt>
                <c:pt idx="6">
                  <c:v>-992</c:v>
                </c:pt>
                <c:pt idx="7">
                  <c:v>-992</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42</c:v>
                </c:pt>
                <c:pt idx="1">
                  <c:v>149</c:v>
                </c:pt>
                <c:pt idx="2">
                  <c:v>149</c:v>
                </c:pt>
                <c:pt idx="3">
                  <c:v>42</c:v>
                </c:pt>
                <c:pt idx="4">
                  <c:v>42</c:v>
                </c:pt>
              </c:numCache>
            </c:numRef>
          </c:xVal>
          <c:yVal>
            <c:numRef>
              <c:f>Stabilito!$C$132:$C$136</c:f>
              <c:numCache>
                <c:formatCode>0</c:formatCode>
                <c:ptCount val="5"/>
                <c:pt idx="0">
                  <c:v>-772</c:v>
                </c:pt>
                <c:pt idx="1">
                  <c:v>-892</c:v>
                </c:pt>
                <c:pt idx="2">
                  <c:v>-972</c:v>
                </c:pt>
                <c:pt idx="3">
                  <c:v>-942</c:v>
                </c:pt>
                <c:pt idx="4">
                  <c:v>-772</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-42</c:v>
                </c:pt>
                <c:pt idx="2">
                  <c:v>-42</c:v>
                </c:pt>
                <c:pt idx="3">
                  <c:v>-42</c:v>
                </c:pt>
                <c:pt idx="4">
                  <c:v>-42</c:v>
                </c:pt>
                <c:pt idx="5">
                  <c:v>-42</c:v>
                </c:pt>
                <c:pt idx="6">
                  <c:v>-42</c:v>
                </c:pt>
                <c:pt idx="7">
                  <c:v>0</c:v>
                </c:pt>
              </c:numCache>
            </c:numRef>
          </c:xVal>
          <c:yVal>
            <c:numRef>
              <c:f>Stabilito!$C$124:$C$131</c:f>
              <c:numCache>
                <c:formatCode>0</c:formatCode>
                <c:ptCount val="8"/>
                <c:pt idx="0">
                  <c:v>-252</c:v>
                </c:pt>
                <c:pt idx="1">
                  <c:v>-252</c:v>
                </c:pt>
                <c:pt idx="2">
                  <c:v>-252</c:v>
                </c:pt>
                <c:pt idx="3">
                  <c:v>-252</c:v>
                </c:pt>
                <c:pt idx="4">
                  <c:v>-252</c:v>
                </c:pt>
                <c:pt idx="5">
                  <c:v>-252</c:v>
                </c:pt>
                <c:pt idx="6">
                  <c:v>-992</c:v>
                </c:pt>
                <c:pt idx="7">
                  <c:v>-992</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-42</c:v>
                </c:pt>
                <c:pt idx="1">
                  <c:v>-149</c:v>
                </c:pt>
                <c:pt idx="2">
                  <c:v>-149</c:v>
                </c:pt>
                <c:pt idx="3">
                  <c:v>-42</c:v>
                </c:pt>
                <c:pt idx="4">
                  <c:v>-42</c:v>
                </c:pt>
              </c:numCache>
            </c:numRef>
          </c:xVal>
          <c:yVal>
            <c:numRef>
              <c:f>Stabilito!$C$132:$C$136</c:f>
              <c:numCache>
                <c:formatCode>0</c:formatCode>
                <c:ptCount val="5"/>
                <c:pt idx="0">
                  <c:v>-772</c:v>
                </c:pt>
                <c:pt idx="1">
                  <c:v>-892</c:v>
                </c:pt>
                <c:pt idx="2">
                  <c:v>-972</c:v>
                </c:pt>
                <c:pt idx="3">
                  <c:v>-942</c:v>
                </c:pt>
                <c:pt idx="4">
                  <c:v>-772</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-545.59795737994693</c:v>
                </c:pt>
                <c:pt idx="1">
                  <c:v>-538.43198066659954</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87.372101895940062</c:v>
                </c:pt>
                <c:pt idx="2">
                  <c:v>87.372101895940062</c:v>
                </c:pt>
                <c:pt idx="3">
                  <c:v>0</c:v>
                </c:pt>
              </c:numCache>
            </c:numRef>
          </c:xVal>
          <c:yVal>
            <c:numRef>
              <c:f>Stabilito!$C$151:$C$154</c:f>
              <c:numCache>
                <c:formatCode>0</c:formatCode>
                <c:ptCount val="4"/>
                <c:pt idx="0">
                  <c:v>-769.02762675440692</c:v>
                </c:pt>
                <c:pt idx="1">
                  <c:v>-769.02762675440692</c:v>
                </c:pt>
                <c:pt idx="2">
                  <c:v>-769.02762675440692</c:v>
                </c:pt>
                <c:pt idx="3">
                  <c:v>-769.02762675440692</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330.66666666666669</c:v>
                </c:pt>
                <c:pt idx="1">
                  <c:v>-330.66666666666669</c:v>
                </c:pt>
              </c:numCache>
            </c:numRef>
          </c:xVal>
          <c:yVal>
            <c:numRef>
              <c:f>Stabilito!$C$168:$C$169</c:f>
              <c:numCache>
                <c:formatCode>0</c:formatCode>
                <c:ptCount val="2"/>
                <c:pt idx="0">
                  <c:v>-1001.92</c:v>
                </c:pt>
                <c:pt idx="1">
                  <c:v>-1001.92</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-12</c:v>
                </c:pt>
                <c:pt idx="1">
                  <c:v>12</c:v>
                </c:pt>
                <c:pt idx="2">
                  <c:v>12</c:v>
                </c:pt>
                <c:pt idx="3">
                  <c:v>-12</c:v>
                </c:pt>
                <c:pt idx="4">
                  <c:v>-12</c:v>
                </c:pt>
              </c:numCache>
            </c:numRef>
          </c:xVal>
          <c:yVal>
            <c:numRef>
              <c:f>Stabilito!$C$170:$C$174</c:f>
              <c:numCache>
                <c:formatCode>0</c:formatCode>
                <c:ptCount val="5"/>
                <c:pt idx="0">
                  <c:v>-714</c:v>
                </c:pt>
                <c:pt idx="1">
                  <c:v>-714</c:v>
                </c:pt>
                <c:pt idx="2">
                  <c:v>-942</c:v>
                </c:pt>
                <c:pt idx="3">
                  <c:v>-942</c:v>
                </c:pt>
                <c:pt idx="4">
                  <c:v>-714</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-149</c:v>
                </c:pt>
                <c:pt idx="1">
                  <c:v>-95.5</c:v>
                </c:pt>
                <c:pt idx="2">
                  <c:v>-42</c:v>
                </c:pt>
              </c:numCache>
            </c:numRef>
          </c:xVal>
          <c:yVal>
            <c:numRef>
              <c:f>Stabilito!$C$137:$C$139</c:f>
              <c:numCache>
                <c:formatCode>0</c:formatCode>
                <c:ptCount val="3"/>
                <c:pt idx="0">
                  <c:v>-1005.0666666666667</c:v>
                </c:pt>
                <c:pt idx="1">
                  <c:v>-1005.0666666666667</c:v>
                </c:pt>
                <c:pt idx="2">
                  <c:v>-1005.0666666666667</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-182.06666666666666</c:v>
                </c:pt>
                <c:pt idx="1">
                  <c:v>-182.06666666666666</c:v>
                </c:pt>
                <c:pt idx="2">
                  <c:v>-182.06666666666666</c:v>
                </c:pt>
              </c:numCache>
            </c:numRef>
          </c:xVal>
          <c:yVal>
            <c:numRef>
              <c:f>Stabilito!$C$143:$C$145</c:f>
              <c:numCache>
                <c:formatCode>0</c:formatCode>
                <c:ptCount val="3"/>
                <c:pt idx="0">
                  <c:v>-772</c:v>
                </c:pt>
                <c:pt idx="1">
                  <c:v>-832</c:v>
                </c:pt>
                <c:pt idx="2">
                  <c:v>-892</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-198.6</c:v>
                </c:pt>
                <c:pt idx="1">
                  <c:v>-198.6</c:v>
                </c:pt>
                <c:pt idx="2">
                  <c:v>-198.6</c:v>
                </c:pt>
              </c:numCache>
            </c:numRef>
          </c:xVal>
          <c:yVal>
            <c:numRef>
              <c:f>Stabilito!$C$146:$C$148</c:f>
              <c:numCache>
                <c:formatCode>0</c:formatCode>
                <c:ptCount val="3"/>
                <c:pt idx="0">
                  <c:v>-892</c:v>
                </c:pt>
                <c:pt idx="1">
                  <c:v>-932</c:v>
                </c:pt>
                <c:pt idx="2">
                  <c:v>-972</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198.6</c:v>
                </c:pt>
                <c:pt idx="1">
                  <c:v>198.6</c:v>
                </c:pt>
                <c:pt idx="2">
                  <c:v>198.6</c:v>
                </c:pt>
              </c:numCache>
            </c:numRef>
          </c:xVal>
          <c:yVal>
            <c:numRef>
              <c:f>Stabilito!$C$140:$C$142</c:f>
              <c:numCache>
                <c:formatCode>0</c:formatCode>
                <c:ptCount val="3"/>
                <c:pt idx="0">
                  <c:v>-772</c:v>
                </c:pt>
                <c:pt idx="1">
                  <c:v>-857</c:v>
                </c:pt>
                <c:pt idx="2">
                  <c:v>-942</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-198.6</c:v>
                </c:pt>
                <c:pt idx="1">
                  <c:v>-198.6</c:v>
                </c:pt>
                <c:pt idx="2">
                  <c:v>-198.6</c:v>
                </c:pt>
              </c:numCache>
            </c:numRef>
          </c:xVal>
          <c:yVal>
            <c:numRef>
              <c:f>Stabilito!$C$155:$C$157</c:f>
              <c:numCache>
                <c:formatCode>0</c:formatCode>
                <c:ptCount val="3"/>
                <c:pt idx="0">
                  <c:v>-542.01496902327324</c:v>
                </c:pt>
                <c:pt idx="1">
                  <c:v>-655.52129788884008</c:v>
                </c:pt>
                <c:pt idx="2">
                  <c:v>-769.02762675440692</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42 mm</c:v>
                </c:pt>
              </c:strCache>
            </c:strRef>
          </c:tx>
          <c:xVal>
            <c:numRef>
              <c:f>Abaco!$D$43:$D$51</c:f>
              <c:numCache>
                <c:formatCode>General\ "kg"</c:formatCode>
                <c:ptCount val="9"/>
                <c:pt idx="0">
                  <c:v>0.15989999999999999</c:v>
                </c:pt>
                <c:pt idx="1">
                  <c:v>0.88365000000000005</c:v>
                </c:pt>
                <c:pt idx="2">
                  <c:v>1.6073999999999999</c:v>
                </c:pt>
                <c:pt idx="3">
                  <c:v>2.3311500000000001</c:v>
                </c:pt>
                <c:pt idx="4">
                  <c:v>3.0548999999999999</c:v>
                </c:pt>
                <c:pt idx="5">
                  <c:v>3.7786499999999998</c:v>
                </c:pt>
                <c:pt idx="6">
                  <c:v>4.5024000000000006</c:v>
                </c:pt>
                <c:pt idx="7">
                  <c:v>5.2261500000000005</c:v>
                </c:pt>
                <c:pt idx="8">
                  <c:v>5.9499000000000004</c:v>
                </c:pt>
              </c:numCache>
            </c:numRef>
          </c:xVal>
          <c:yVal>
            <c:numRef>
              <c:f>Abaco!$K$43:$K$51</c:f>
              <c:numCache>
                <c:formatCode>General" m/s"</c:formatCode>
                <c:ptCount val="9"/>
                <c:pt idx="0">
                  <c:v>369.32332981562001</c:v>
                </c:pt>
                <c:pt idx="1">
                  <c:v>140.48938293512452</c:v>
                </c:pt>
                <c:pt idx="2">
                  <c:v>70.054948639462992</c:v>
                </c:pt>
                <c:pt idx="3">
                  <c:v>42.224801783061984</c:v>
                </c:pt>
                <c:pt idx="4">
                  <c:v>27.505571782682907</c:v>
                </c:pt>
                <c:pt idx="5">
                  <c:v>18.42605942543565</c:v>
                </c:pt>
                <c:pt idx="6">
                  <c:v>12.272853864102277</c:v>
                </c:pt>
                <c:pt idx="7">
                  <c:v>7.8298023906125271</c:v>
                </c:pt>
                <c:pt idx="8">
                  <c:v>4.4718135547184463</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84 mm</c:v>
                </c:pt>
              </c:strCache>
            </c:strRef>
          </c:tx>
          <c:xVal>
            <c:numRef>
              <c:f>Abaco!$D$52:$D$60</c:f>
              <c:numCache>
                <c:formatCode>General\ "kg"</c:formatCode>
                <c:ptCount val="9"/>
                <c:pt idx="0">
                  <c:v>0.15989999999999999</c:v>
                </c:pt>
                <c:pt idx="1">
                  <c:v>0.88365000000000005</c:v>
                </c:pt>
                <c:pt idx="2">
                  <c:v>1.6073999999999999</c:v>
                </c:pt>
                <c:pt idx="3">
                  <c:v>2.3311500000000001</c:v>
                </c:pt>
                <c:pt idx="4">
                  <c:v>3.0548999999999999</c:v>
                </c:pt>
                <c:pt idx="5">
                  <c:v>3.7786499999999998</c:v>
                </c:pt>
                <c:pt idx="6">
                  <c:v>4.5024000000000006</c:v>
                </c:pt>
                <c:pt idx="7">
                  <c:v>5.2261500000000005</c:v>
                </c:pt>
                <c:pt idx="8">
                  <c:v>5.9499000000000004</c:v>
                </c:pt>
              </c:numCache>
            </c:numRef>
          </c:xVal>
          <c:yVal>
            <c:numRef>
              <c:f>Abaco!$K$52:$K$60</c:f>
              <c:numCache>
                <c:formatCode>General" m/s"</c:formatCode>
                <c:ptCount val="9"/>
                <c:pt idx="0">
                  <c:v>185.42201346176171</c:v>
                </c:pt>
                <c:pt idx="1">
                  <c:v>121.14194817251041</c:v>
                </c:pt>
                <c:pt idx="2">
                  <c:v>67.053454726460672</c:v>
                </c:pt>
                <c:pt idx="3">
                  <c:v>41.452469414368096</c:v>
                </c:pt>
                <c:pt idx="4">
                  <c:v>27.253350621353079</c:v>
                </c:pt>
                <c:pt idx="5">
                  <c:v>18.334252654095604</c:v>
                </c:pt>
                <c:pt idx="6">
                  <c:v>12.238627074344944</c:v>
                </c:pt>
                <c:pt idx="7">
                  <c:v>7.8177947107465267</c:v>
                </c:pt>
                <c:pt idx="8">
                  <c:v>4.4683727850120132</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126 mm</c:v>
                </c:pt>
              </c:strCache>
            </c:strRef>
          </c:tx>
          <c:xVal>
            <c:numRef>
              <c:f>Abaco!$D$61:$D$69</c:f>
              <c:numCache>
                <c:formatCode>General\ "kg"</c:formatCode>
                <c:ptCount val="9"/>
                <c:pt idx="0">
                  <c:v>0.15989999999999999</c:v>
                </c:pt>
                <c:pt idx="1">
                  <c:v>0.88365000000000005</c:v>
                </c:pt>
                <c:pt idx="2">
                  <c:v>1.6073999999999999</c:v>
                </c:pt>
                <c:pt idx="3">
                  <c:v>2.3311500000000001</c:v>
                </c:pt>
                <c:pt idx="4">
                  <c:v>3.0548999999999999</c:v>
                </c:pt>
                <c:pt idx="5">
                  <c:v>3.7786499999999998</c:v>
                </c:pt>
                <c:pt idx="6">
                  <c:v>4.5024000000000006</c:v>
                </c:pt>
                <c:pt idx="7">
                  <c:v>5.2261500000000005</c:v>
                </c:pt>
                <c:pt idx="8">
                  <c:v>5.9499000000000004</c:v>
                </c:pt>
              </c:numCache>
            </c:numRef>
          </c:xVal>
          <c:yVal>
            <c:numRef>
              <c:f>Abaco!$K$61:$K$69</c:f>
              <c:numCache>
                <c:formatCode>General" m/s"</c:formatCode>
                <c:ptCount val="9"/>
                <c:pt idx="0">
                  <c:v>123.6157213781817</c:v>
                </c:pt>
                <c:pt idx="1">
                  <c:v>100.03777503089147</c:v>
                </c:pt>
                <c:pt idx="2">
                  <c:v>62.682691412456151</c:v>
                </c:pt>
                <c:pt idx="3">
                  <c:v>40.237932319254028</c:v>
                </c:pt>
                <c:pt idx="4">
                  <c:v>26.845094927800176</c:v>
                </c:pt>
                <c:pt idx="5">
                  <c:v>18.183656881730904</c:v>
                </c:pt>
                <c:pt idx="6">
                  <c:v>12.182088680408246</c:v>
                </c:pt>
                <c:pt idx="7">
                  <c:v>7.7978798230123756</c:v>
                </c:pt>
                <c:pt idx="8">
                  <c:v>4.4626522668650477</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42 mm</c:v>
                </c:pt>
              </c:strCache>
            </c:strRef>
          </c:tx>
          <c:xVal>
            <c:numRef>
              <c:f>Abaco!$D$43:$D$51</c:f>
              <c:numCache>
                <c:formatCode>General\ "kg"</c:formatCode>
                <c:ptCount val="9"/>
                <c:pt idx="0">
                  <c:v>0.15989999999999999</c:v>
                </c:pt>
                <c:pt idx="1">
                  <c:v>0.88365000000000005</c:v>
                </c:pt>
                <c:pt idx="2">
                  <c:v>1.6073999999999999</c:v>
                </c:pt>
                <c:pt idx="3">
                  <c:v>2.3311500000000001</c:v>
                </c:pt>
                <c:pt idx="4">
                  <c:v>3.0548999999999999</c:v>
                </c:pt>
                <c:pt idx="5">
                  <c:v>3.7786499999999998</c:v>
                </c:pt>
                <c:pt idx="6">
                  <c:v>4.5024000000000006</c:v>
                </c:pt>
                <c:pt idx="7">
                  <c:v>5.2261500000000005</c:v>
                </c:pt>
                <c:pt idx="8">
                  <c:v>5.9499000000000004</c:v>
                </c:pt>
              </c:numCache>
            </c:numRef>
          </c:xVal>
          <c:yVal>
            <c:numRef>
              <c:f>Abaco!$L$43:$L$51</c:f>
              <c:numCache>
                <c:formatCode>General" m"</c:formatCode>
                <c:ptCount val="9"/>
                <c:pt idx="0">
                  <c:v>943.72596711044525</c:v>
                </c:pt>
                <c:pt idx="1">
                  <c:v>794.26192802243168</c:v>
                </c:pt>
                <c:pt idx="2">
                  <c:v>301.98077245487542</c:v>
                </c:pt>
                <c:pt idx="3">
                  <c:v>131.41574181078286</c:v>
                </c:pt>
                <c:pt idx="4">
                  <c:v>65.856758964896528</c:v>
                </c:pt>
                <c:pt idx="5">
                  <c:v>35.705203848174058</c:v>
                </c:pt>
                <c:pt idx="6">
                  <c:v>19.948821422541236</c:v>
                </c:pt>
                <c:pt idx="7">
                  <c:v>10.955502214865072</c:v>
                </c:pt>
                <c:pt idx="8">
                  <c:v>5.4915186595692944</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84 mm</c:v>
                </c:pt>
              </c:strCache>
            </c:strRef>
          </c:tx>
          <c:xVal>
            <c:numRef>
              <c:f>Abaco!$D$52:$D$60</c:f>
              <c:numCache>
                <c:formatCode>General\ "kg"</c:formatCode>
                <c:ptCount val="9"/>
                <c:pt idx="0">
                  <c:v>0.15989999999999999</c:v>
                </c:pt>
                <c:pt idx="1">
                  <c:v>0.88365000000000005</c:v>
                </c:pt>
                <c:pt idx="2">
                  <c:v>1.6073999999999999</c:v>
                </c:pt>
                <c:pt idx="3">
                  <c:v>2.3311500000000001</c:v>
                </c:pt>
                <c:pt idx="4">
                  <c:v>3.0548999999999999</c:v>
                </c:pt>
                <c:pt idx="5">
                  <c:v>3.7786499999999998</c:v>
                </c:pt>
                <c:pt idx="6">
                  <c:v>4.5024000000000006</c:v>
                </c:pt>
                <c:pt idx="7">
                  <c:v>5.2261500000000005</c:v>
                </c:pt>
                <c:pt idx="8">
                  <c:v>5.9499000000000004</c:v>
                </c:pt>
              </c:numCache>
            </c:numRef>
          </c:xVal>
          <c:yVal>
            <c:numRef>
              <c:f>Abaco!$L$52:$L$60</c:f>
              <c:numCache>
                <c:formatCode>General" m"</c:formatCode>
                <c:ptCount val="9"/>
                <c:pt idx="0">
                  <c:v>421.40012018928473</c:v>
                </c:pt>
                <c:pt idx="1">
                  <c:v>443.76570017621498</c:v>
                </c:pt>
                <c:pt idx="2">
                  <c:v>247.99090976713791</c:v>
                </c:pt>
                <c:pt idx="3">
                  <c:v>123.27316388386774</c:v>
                </c:pt>
                <c:pt idx="4">
                  <c:v>64.330709628606471</c:v>
                </c:pt>
                <c:pt idx="5">
                  <c:v>35.368743751491778</c:v>
                </c:pt>
                <c:pt idx="6">
                  <c:v>19.868998544218961</c:v>
                </c:pt>
                <c:pt idx="7">
                  <c:v>10.937049758837574</c:v>
                </c:pt>
                <c:pt idx="8">
                  <c:v>5.4879606973191937</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126 mm</c:v>
                </c:pt>
              </c:strCache>
            </c:strRef>
          </c:tx>
          <c:xVal>
            <c:numRef>
              <c:f>Abaco!$D$61:$D$69</c:f>
              <c:numCache>
                <c:formatCode>General\ "kg"</c:formatCode>
                <c:ptCount val="9"/>
                <c:pt idx="0">
                  <c:v>0.15989999999999999</c:v>
                </c:pt>
                <c:pt idx="1">
                  <c:v>0.88365000000000005</c:v>
                </c:pt>
                <c:pt idx="2">
                  <c:v>1.6073999999999999</c:v>
                </c:pt>
                <c:pt idx="3">
                  <c:v>2.3311500000000001</c:v>
                </c:pt>
                <c:pt idx="4">
                  <c:v>3.0548999999999999</c:v>
                </c:pt>
                <c:pt idx="5">
                  <c:v>3.7786499999999998</c:v>
                </c:pt>
                <c:pt idx="6">
                  <c:v>4.5024000000000006</c:v>
                </c:pt>
                <c:pt idx="7">
                  <c:v>5.2261500000000005</c:v>
                </c:pt>
                <c:pt idx="8">
                  <c:v>5.9499000000000004</c:v>
                </c:pt>
              </c:numCache>
            </c:numRef>
          </c:xVal>
          <c:yVal>
            <c:numRef>
              <c:f>Abaco!$L$61:$L$69</c:f>
              <c:numCache>
                <c:formatCode>General" m"</c:formatCode>
                <c:ptCount val="9"/>
                <c:pt idx="0">
                  <c:v>269.6994657695717</c:v>
                </c:pt>
                <c:pt idx="1">
                  <c:v>289.25805498598902</c:v>
                </c:pt>
                <c:pt idx="2">
                  <c:v>198.3338345304322</c:v>
                </c:pt>
                <c:pt idx="3">
                  <c:v>112.50497695616369</c:v>
                </c:pt>
                <c:pt idx="4">
                  <c:v>62.013813727607108</c:v>
                </c:pt>
                <c:pt idx="5">
                  <c:v>34.829964553820496</c:v>
                </c:pt>
                <c:pt idx="6">
                  <c:v>19.738296750713538</c:v>
                </c:pt>
                <c:pt idx="7">
                  <c:v>10.906531829103487</c:v>
                </c:pt>
                <c:pt idx="8">
                  <c:v>5.4820486425134689</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42 mm</c:v>
                </c:pt>
              </c:strCache>
            </c:strRef>
          </c:tx>
          <c:xVal>
            <c:numRef>
              <c:f>Abaco!$D$43:$D$51</c:f>
              <c:numCache>
                <c:formatCode>General\ "kg"</c:formatCode>
                <c:ptCount val="9"/>
                <c:pt idx="0">
                  <c:v>0.15989999999999999</c:v>
                </c:pt>
                <c:pt idx="1">
                  <c:v>0.88365000000000005</c:v>
                </c:pt>
                <c:pt idx="2">
                  <c:v>1.6073999999999999</c:v>
                </c:pt>
                <c:pt idx="3">
                  <c:v>2.3311500000000001</c:v>
                </c:pt>
                <c:pt idx="4">
                  <c:v>3.0548999999999999</c:v>
                </c:pt>
                <c:pt idx="5">
                  <c:v>3.7786499999999998</c:v>
                </c:pt>
                <c:pt idx="6">
                  <c:v>4.5024000000000006</c:v>
                </c:pt>
                <c:pt idx="7">
                  <c:v>5.2261500000000005</c:v>
                </c:pt>
                <c:pt idx="8">
                  <c:v>5.9499000000000004</c:v>
                </c:pt>
              </c:numCache>
            </c:numRef>
          </c:xVal>
          <c:yVal>
            <c:numRef>
              <c:f>Abaco!$M$43:$M$51</c:f>
              <c:numCache>
                <c:formatCode>General" s"</c:formatCode>
                <c:ptCount val="9"/>
                <c:pt idx="0">
                  <c:v>8.0066772056142064</c:v>
                </c:pt>
                <c:pt idx="1">
                  <c:v>12.742249634307495</c:v>
                </c:pt>
                <c:pt idx="2">
                  <c:v>8.7806895651265435</c:v>
                </c:pt>
                <c:pt idx="3">
                  <c:v>6.2468066617056053</c:v>
                </c:pt>
                <c:pt idx="4">
                  <c:v>4.7916086128567281</c:v>
                </c:pt>
                <c:pt idx="5">
                  <c:v>3.8753226277746182</c:v>
                </c:pt>
                <c:pt idx="6">
                  <c:v>3.2503197859446455</c:v>
                </c:pt>
                <c:pt idx="7">
                  <c:v>2.7979806989267115</c:v>
                </c:pt>
                <c:pt idx="8">
                  <c:v>2.4558155170464664</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84 mm</c:v>
                </c:pt>
              </c:strCache>
            </c:strRef>
          </c:tx>
          <c:xVal>
            <c:numRef>
              <c:f>Abaco!$D$52:$D$60</c:f>
              <c:numCache>
                <c:formatCode>General\ "kg"</c:formatCode>
                <c:ptCount val="9"/>
                <c:pt idx="0">
                  <c:v>0.15989999999999999</c:v>
                </c:pt>
                <c:pt idx="1">
                  <c:v>0.88365000000000005</c:v>
                </c:pt>
                <c:pt idx="2">
                  <c:v>1.6073999999999999</c:v>
                </c:pt>
                <c:pt idx="3">
                  <c:v>2.3311500000000001</c:v>
                </c:pt>
                <c:pt idx="4">
                  <c:v>3.0548999999999999</c:v>
                </c:pt>
                <c:pt idx="5">
                  <c:v>3.7786499999999998</c:v>
                </c:pt>
                <c:pt idx="6">
                  <c:v>4.5024000000000006</c:v>
                </c:pt>
                <c:pt idx="7">
                  <c:v>5.2261500000000005</c:v>
                </c:pt>
                <c:pt idx="8">
                  <c:v>5.9499000000000004</c:v>
                </c:pt>
              </c:numCache>
            </c:numRef>
          </c:xVal>
          <c:yVal>
            <c:numRef>
              <c:f>Abaco!$M$52:$M$60</c:f>
              <c:numCache>
                <c:formatCode>General" s"</c:formatCode>
                <c:ptCount val="9"/>
                <c:pt idx="0">
                  <c:v>5.004247001248757</c:v>
                </c:pt>
                <c:pt idx="1">
                  <c:v>8.9652035667155872</c:v>
                </c:pt>
                <c:pt idx="2">
                  <c:v>7.8036728355384275</c:v>
                </c:pt>
                <c:pt idx="3">
                  <c:v>6.0217789608564409</c:v>
                </c:pt>
                <c:pt idx="4">
                  <c:v>4.7316264864420692</c:v>
                </c:pt>
                <c:pt idx="5">
                  <c:v>3.8573257894267909</c:v>
                </c:pt>
                <c:pt idx="6">
                  <c:v>3.244657564773461</c:v>
                </c:pt>
                <c:pt idx="7">
                  <c:v>2.7962675314290095</c:v>
                </c:pt>
                <c:pt idx="8">
                  <c:v>2.4553845278215909</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126 mm</c:v>
                </c:pt>
              </c:strCache>
            </c:strRef>
          </c:tx>
          <c:xVal>
            <c:numRef>
              <c:f>Abaco!$D$61:$D$69</c:f>
              <c:numCache>
                <c:formatCode>General\ "kg"</c:formatCode>
                <c:ptCount val="9"/>
                <c:pt idx="0">
                  <c:v>0.15989999999999999</c:v>
                </c:pt>
                <c:pt idx="1">
                  <c:v>0.88365000000000005</c:v>
                </c:pt>
                <c:pt idx="2">
                  <c:v>1.6073999999999999</c:v>
                </c:pt>
                <c:pt idx="3">
                  <c:v>2.3311500000000001</c:v>
                </c:pt>
                <c:pt idx="4">
                  <c:v>3.0548999999999999</c:v>
                </c:pt>
                <c:pt idx="5">
                  <c:v>3.7786499999999998</c:v>
                </c:pt>
                <c:pt idx="6">
                  <c:v>4.5024000000000006</c:v>
                </c:pt>
                <c:pt idx="7">
                  <c:v>5.2261500000000005</c:v>
                </c:pt>
                <c:pt idx="8">
                  <c:v>5.9499000000000004</c:v>
                </c:pt>
              </c:numCache>
            </c:numRef>
          </c:xVal>
          <c:yVal>
            <c:numRef>
              <c:f>Abaco!$M$61:$M$69</c:f>
              <c:numCache>
                <c:formatCode>General" s"</c:formatCode>
                <c:ptCount val="9"/>
                <c:pt idx="0">
                  <c:v>4.0028325784479488</c:v>
                </c:pt>
                <c:pt idx="1">
                  <c:v>6.9892374392497816</c:v>
                </c:pt>
                <c:pt idx="2">
                  <c:v>6.8481811158933992</c:v>
                </c:pt>
                <c:pt idx="3">
                  <c:v>5.7179538076680743</c:v>
                </c:pt>
                <c:pt idx="4">
                  <c:v>4.6399069772597787</c:v>
                </c:pt>
                <c:pt idx="5">
                  <c:v>3.8284401368383616</c:v>
                </c:pt>
                <c:pt idx="6">
                  <c:v>3.2353814248818766</c:v>
                </c:pt>
                <c:pt idx="7">
                  <c:v>2.7934345408998817</c:v>
                </c:pt>
                <c:pt idx="8">
                  <c:v>2.4546685827453394</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30</c:v>
                </c:pt>
                <c:pt idx="1">
                  <c:v>30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1.5</c:v>
                </c:pt>
                <c:pt idx="1">
                  <c:v>1.5</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60</c:v>
                </c:pt>
                <c:pt idx="1">
                  <c:v>30</c:v>
                </c:pt>
                <c:pt idx="2">
                  <c:v>15</c:v>
                </c:pt>
                <c:pt idx="3">
                  <c:v>10</c:v>
                </c:pt>
                <c:pt idx="4">
                  <c:v>6</c:v>
                </c:pt>
                <c:pt idx="5">
                  <c:v>4.2857142857142856</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1.5</c:v>
                </c:pt>
              </c:numCache>
            </c:numRef>
          </c:xVal>
          <c:yVal>
            <c:numRef>
              <c:f>Stabilito!$C$195:$C$196</c:f>
              <c:numCache>
                <c:formatCode>General</c:formatCode>
                <c:ptCount val="2"/>
                <c:pt idx="0">
                  <c:v>22.5</c:v>
                </c:pt>
                <c:pt idx="1">
                  <c:v>22.5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4.4444444444444446</c:v>
                </c:pt>
                <c:pt idx="1">
                  <c:v>7</c:v>
                </c:pt>
              </c:numCache>
            </c:numRef>
          </c:xVal>
          <c:yVal>
            <c:numRef>
              <c:f>Stabilito!$C$197:$C$198</c:f>
              <c:numCache>
                <c:formatCode>General</c:formatCode>
                <c:ptCount val="2"/>
                <c:pt idx="0">
                  <c:v>22.5</c:v>
                </c:pt>
                <c:pt idx="1">
                  <c:v>22.5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3.75</c:v>
                </c:pt>
                <c:pt idx="1">
                  <c:v>3.75</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3.75</c:v>
                </c:pt>
                <c:pt idx="1">
                  <c:v>3.75</c:v>
                </c:pt>
              </c:numCache>
            </c:numRef>
          </c:xVal>
          <c:yVal>
            <c:numRef>
              <c:f>Stabilito!$C$201:$C$202</c:f>
              <c:numCache>
                <c:formatCode>General</c:formatCode>
                <c:ptCount val="2"/>
                <c:pt idx="0">
                  <c:v>26.666666666666668</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2.6598770163626191</c:v>
                </c:pt>
                <c:pt idx="1">
                  <c:v>2.6598770163626191</c:v>
                </c:pt>
                <c:pt idx="2">
                  <c:v>2.7451862629500878</c:v>
                </c:pt>
                <c:pt idx="3">
                  <c:v>2.7451862629500878</c:v>
                </c:pt>
              </c:numCache>
            </c:numRef>
          </c:xVal>
          <c:yVal>
            <c:numRef>
              <c:f>Stabilito!$C$190:$C$193</c:f>
              <c:numCache>
                <c:formatCode>0.00</c:formatCode>
                <c:ptCount val="4"/>
                <c:pt idx="0">
                  <c:v>15.602161052846441</c:v>
                </c:pt>
                <c:pt idx="1">
                  <c:v>15.602161052846441</c:v>
                </c:pt>
                <c:pt idx="2">
                  <c:v>15.602161052846441</c:v>
                </c:pt>
                <c:pt idx="3">
                  <c:v>15.602161052846441</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2.7451862629500878</c:v>
                </c:pt>
                <c:pt idx="1">
                  <c:v>2.6598770163626191</c:v>
                </c:pt>
              </c:numCache>
            </c:numRef>
          </c:xVal>
          <c:yVal>
            <c:numRef>
              <c:f>Stabilito!$C$193:$C$194</c:f>
              <c:numCache>
                <c:formatCode>0.00</c:formatCode>
                <c:ptCount val="2"/>
                <c:pt idx="0">
                  <c:v>15.602161052846441</c:v>
                </c:pt>
                <c:pt idx="1">
                  <c:v>15.602161052846441</c:v>
                </c:pt>
              </c:numCache>
            </c:numRef>
          </c:yVal>
          <c:smooth val="0"/>
          <c:extLst>
            <c:ext xmlns:c16="http://schemas.microsoft.com/office/drawing/2014/chart" uri="{C3380CC4-5D6E-409C-BE32-E72D297353CC}">
              <c16:uniqueId val="{0000000B-DD97-4068-951F-4990D529CDCA}"/>
            </c:ext>
          </c:extLst>
        </c:ser>
        <c:ser>
          <c:idx val="12"/>
          <c:order val="12"/>
          <c:tx>
            <c:strRef>
              <c:f>Stabilito!$U$29</c:f>
              <c:strCache>
                <c:ptCount val="1"/>
                <c:pt idx="0">
                  <c:v>OpenRocket</c:v>
                </c:pt>
              </c:strCache>
            </c:strRef>
          </c:tx>
          <c:xVal>
            <c:numRef>
              <c:f>Stabilito!$U$31:$U$32</c:f>
              <c:numCache>
                <c:formatCode>General</c:formatCode>
                <c:ptCount val="2"/>
                <c:pt idx="0">
                  <c:v>2.58</c:v>
                </c:pt>
                <c:pt idx="1">
                  <c:v>2.66</c:v>
                </c:pt>
              </c:numCache>
            </c:numRef>
          </c:xVal>
          <c:yVal>
            <c:numRef>
              <c:f>Stabilito!$V$31:$V$32</c:f>
              <c:numCache>
                <c:formatCode>General</c:formatCode>
                <c:ptCount val="2"/>
                <c:pt idx="0">
                  <c:v>15.795999999999999</c:v>
                </c:pt>
                <c:pt idx="1">
                  <c:v>15.795999999999999</c:v>
                </c:pt>
              </c:numCache>
            </c:numRef>
          </c:yVal>
          <c:smooth val="0"/>
          <c:extLst>
            <c:ext xmlns:c16="http://schemas.microsoft.com/office/drawing/2014/chart" uri="{C3380CC4-5D6E-409C-BE32-E72D297353CC}">
              <c16:uniqueId val="{00000002-5321-498C-81FE-E91675A8766E}"/>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1495.6316819301612</c:v>
                </c:pt>
              </c:numCache>
            </c:numRef>
          </c:xVal>
          <c:yVal>
            <c:numRef>
              <c:f>Trajecto!$C$121</c:f>
              <c:numCache>
                <c:formatCode>0</c:formatCode>
                <c:ptCount val="1"/>
                <c:pt idx="0">
                  <c:v>1495.6316819301612</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-1</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132.87953575312144</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172.79050545589496</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208.01552136028656</c:v>
                </c:pt>
                <c:pt idx="209">
                  <c:v>#N/A</c:v>
                </c:pt>
                <c:pt idx="210">
                  <c:v>#N/A</c:v>
                </c:pt>
                <c:pt idx="211">
                  <c:v>#N/A</c:v>
                </c:pt>
                <c:pt idx="212">
                  <c:v>#N/A</c:v>
                </c:pt>
                <c:pt idx="213">
                  <c:v>#N/A</c:v>
                </c:pt>
                <c:pt idx="214">
                  <c:v>#N/A</c:v>
                </c:pt>
                <c:pt idx="215">
                  <c:v>#N/A</c:v>
                </c:pt>
                <c:pt idx="216">
                  <c:v>#N/A</c:v>
                </c:pt>
                <c:pt idx="217">
                  <c:v>#N/A</c:v>
                </c:pt>
                <c:pt idx="218">
                  <c:v>239.74497843911442</c:v>
                </c:pt>
                <c:pt idx="219">
                  <c:v>#N/A</c:v>
                </c:pt>
                <c:pt idx="220">
                  <c:v>#N/A</c:v>
                </c:pt>
                <c:pt idx="221">
                  <c:v>#N/A</c:v>
                </c:pt>
                <c:pt idx="222">
                  <c:v>#N/A</c:v>
                </c:pt>
                <c:pt idx="223">
                  <c:v>#N/A</c:v>
                </c:pt>
                <c:pt idx="224">
                  <c:v>#N/A</c:v>
                </c:pt>
                <c:pt idx="225">
                  <c:v>#N/A</c:v>
                </c:pt>
                <c:pt idx="226">
                  <c:v>#N/A</c:v>
                </c:pt>
                <c:pt idx="227">
                  <c:v>#N/A</c:v>
                </c:pt>
                <c:pt idx="228">
                  <c:v>268.8379231399656</c:v>
                </c:pt>
                <c:pt idx="229">
                  <c:v>#N/A</c:v>
                </c:pt>
                <c:pt idx="230">
                  <c:v>#N/A</c:v>
                </c:pt>
                <c:pt idx="231">
                  <c:v>#N/A</c:v>
                </c:pt>
                <c:pt idx="232">
                  <c:v>#N/A</c:v>
                </c:pt>
                <c:pt idx="233">
                  <c:v>#N/A</c:v>
                </c:pt>
                <c:pt idx="234">
                  <c:v>#N/A</c:v>
                </c:pt>
                <c:pt idx="235">
                  <c:v>#N/A</c:v>
                </c:pt>
                <c:pt idx="236">
                  <c:v>#N/A</c:v>
                </c:pt>
                <c:pt idx="237">
                  <c:v>#N/A</c:v>
                </c:pt>
                <c:pt idx="238">
                  <c:v>295.90105488525671</c:v>
                </c:pt>
                <c:pt idx="239">
                  <c:v>#N/A</c:v>
                </c:pt>
                <c:pt idx="240">
                  <c:v>#N/A</c:v>
                </c:pt>
                <c:pt idx="241">
                  <c:v>#N/A</c:v>
                </c:pt>
                <c:pt idx="242">
                  <c:v>#N/A</c:v>
                </c:pt>
                <c:pt idx="243">
                  <c:v>#N/A</c:v>
                </c:pt>
                <c:pt idx="244">
                  <c:v>#N/A</c:v>
                </c:pt>
                <c:pt idx="245">
                  <c:v>#N/A</c:v>
                </c:pt>
                <c:pt idx="246">
                  <c:v>#N/A</c:v>
                </c:pt>
                <c:pt idx="247">
                  <c:v>#N/A</c:v>
                </c:pt>
                <c:pt idx="248">
                  <c:v>321.38160224984733</c:v>
                </c:pt>
                <c:pt idx="249">
                  <c:v>#N/A</c:v>
                </c:pt>
                <c:pt idx="250">
                  <c:v>#N/A</c:v>
                </c:pt>
                <c:pt idx="251">
                  <c:v>#N/A</c:v>
                </c:pt>
                <c:pt idx="252">
                  <c:v>#N/A</c:v>
                </c:pt>
                <c:pt idx="253">
                  <c:v>#N/A</c:v>
                </c:pt>
                <c:pt idx="254">
                  <c:v>#N/A</c:v>
                </c:pt>
                <c:pt idx="255">
                  <c:v>#N/A</c:v>
                </c:pt>
                <c:pt idx="256">
                  <c:v>#N/A</c:v>
                </c:pt>
                <c:pt idx="257">
                  <c:v>#N/A</c:v>
                </c:pt>
                <c:pt idx="258">
                  <c:v>345.62154605991253</c:v>
                </c:pt>
                <c:pt idx="259">
                  <c:v>#N/A</c:v>
                </c:pt>
                <c:pt idx="260">
                  <c:v>#N/A</c:v>
                </c:pt>
                <c:pt idx="261">
                  <c:v>#N/A</c:v>
                </c:pt>
                <c:pt idx="262">
                  <c:v>#N/A</c:v>
                </c:pt>
                <c:pt idx="263">
                  <c:v>#N/A</c:v>
                </c:pt>
                <c:pt idx="264">
                  <c:v>#N/A</c:v>
                </c:pt>
                <c:pt idx="265">
                  <c:v>#N/A</c:v>
                </c:pt>
                <c:pt idx="266">
                  <c:v>#N/A</c:v>
                </c:pt>
                <c:pt idx="267">
                  <c:v>#N/A</c:v>
                </c:pt>
                <c:pt idx="268">
                  <c:v>368.89028772212879</c:v>
                </c:pt>
                <c:pt idx="269">
                  <c:v>#N/A</c:v>
                </c:pt>
                <c:pt idx="270">
                  <c:v>#N/A</c:v>
                </c:pt>
                <c:pt idx="271">
                  <c:v>#N/A</c:v>
                </c:pt>
                <c:pt idx="272">
                  <c:v>#N/A</c:v>
                </c:pt>
                <c:pt idx="273">
                  <c:v>#N/A</c:v>
                </c:pt>
                <c:pt idx="274">
                  <c:v>#N/A</c:v>
                </c:pt>
                <c:pt idx="275">
                  <c:v>#N/A</c:v>
                </c:pt>
                <c:pt idx="276">
                  <c:v>#N/A</c:v>
                </c:pt>
                <c:pt idx="277">
                  <c:v>#N/A</c:v>
                </c:pt>
                <c:pt idx="278">
                  <c:v>391.40456709183655</c:v>
                </c:pt>
                <c:pt idx="279">
                  <c:v>#N/A</c:v>
                </c:pt>
                <c:pt idx="280">
                  <c:v>#N/A</c:v>
                </c:pt>
                <c:pt idx="281">
                  <c:v>#N/A</c:v>
                </c:pt>
                <c:pt idx="282">
                  <c:v>#N/A</c:v>
                </c:pt>
                <c:pt idx="283">
                  <c:v>#N/A</c:v>
                </c:pt>
                <c:pt idx="284">
                  <c:v>#N/A</c:v>
                </c:pt>
                <c:pt idx="285">
                  <c:v>#N/A</c:v>
                </c:pt>
                <c:pt idx="286">
                  <c:v>#N/A</c:v>
                </c:pt>
                <c:pt idx="287">
                  <c:v>#N/A</c:v>
                </c:pt>
                <c:pt idx="288">
                  <c:v>413.33947289503453</c:v>
                </c:pt>
                <c:pt idx="289">
                  <c:v>#N/A</c:v>
                </c:pt>
                <c:pt idx="290">
                  <c:v>#N/A</c:v>
                </c:pt>
                <c:pt idx="291">
                  <c:v>#N/A</c:v>
                </c:pt>
                <c:pt idx="292">
                  <c:v>#N/A</c:v>
                </c:pt>
                <c:pt idx="293">
                  <c:v>#N/A</c:v>
                </c:pt>
                <c:pt idx="294">
                  <c:v>#N/A</c:v>
                </c:pt>
                <c:pt idx="295">
                  <c:v>#N/A</c:v>
                </c:pt>
                <c:pt idx="296">
                  <c:v>#N/A</c:v>
                </c:pt>
                <c:pt idx="297">
                  <c:v>#N/A</c:v>
                </c:pt>
                <c:pt idx="298">
                  <c:v>434.83097402673098</c:v>
                </c:pt>
                <c:pt idx="299">
                  <c:v>#N/A</c:v>
                </c:pt>
                <c:pt idx="300">
                  <c:v>#N/A</c:v>
                </c:pt>
                <c:pt idx="301">
                  <c:v>#N/A</c:v>
                </c:pt>
                <c:pt idx="302">
                  <c:v>#N/A</c:v>
                </c:pt>
                <c:pt idx="303">
                  <c:v>#N/A</c:v>
                </c:pt>
                <c:pt idx="304">
                  <c:v>#N/A</c:v>
                </c:pt>
                <c:pt idx="305">
                  <c:v>#N/A</c:v>
                </c:pt>
                <c:pt idx="306">
                  <c:v>#N/A</c:v>
                </c:pt>
                <c:pt idx="307">
                  <c:v>#N/A</c:v>
                </c:pt>
                <c:pt idx="308">
                  <c:v>455.96804708123244</c:v>
                </c:pt>
                <c:pt idx="309">
                  <c:v>#N/A</c:v>
                </c:pt>
                <c:pt idx="310">
                  <c:v>#N/A</c:v>
                </c:pt>
                <c:pt idx="311">
                  <c:v>#N/A</c:v>
                </c:pt>
                <c:pt idx="312">
                  <c:v>#N/A</c:v>
                </c:pt>
                <c:pt idx="313">
                  <c:v>#N/A</c:v>
                </c:pt>
                <c:pt idx="314">
                  <c:v>#N/A</c:v>
                </c:pt>
                <c:pt idx="315">
                  <c:v>#N/A</c:v>
                </c:pt>
                <c:pt idx="316">
                  <c:v>#N/A</c:v>
                </c:pt>
                <c:pt idx="317">
                  <c:v>#N/A</c:v>
                </c:pt>
                <c:pt idx="318">
                  <c:v>476.77805902082838</c:v>
                </c:pt>
                <c:pt idx="319">
                  <c:v>#N/A</c:v>
                </c:pt>
                <c:pt idx="320">
                  <c:v>#N/A</c:v>
                </c:pt>
                <c:pt idx="321">
                  <c:v>#N/A</c:v>
                </c:pt>
                <c:pt idx="322">
                  <c:v>#N/A</c:v>
                </c:pt>
                <c:pt idx="323">
                  <c:v>#N/A</c:v>
                </c:pt>
                <c:pt idx="324">
                  <c:v>#N/A</c:v>
                </c:pt>
                <c:pt idx="325">
                  <c:v>#N/A</c:v>
                </c:pt>
                <c:pt idx="326">
                  <c:v>#N/A</c:v>
                </c:pt>
                <c:pt idx="327">
                  <c:v>#N/A</c:v>
                </c:pt>
                <c:pt idx="328">
                  <c:v>497.22592094738206</c:v>
                </c:pt>
                <c:pt idx="329">
                  <c:v>#N/A</c:v>
                </c:pt>
                <c:pt idx="330">
                  <c:v>#N/A</c:v>
                </c:pt>
                <c:pt idx="331">
                  <c:v>#N/A</c:v>
                </c:pt>
                <c:pt idx="332">
                  <c:v>#N/A</c:v>
                </c:pt>
                <c:pt idx="333">
                  <c:v>#N/A</c:v>
                </c:pt>
                <c:pt idx="334">
                  <c:v>#N/A</c:v>
                </c:pt>
                <c:pt idx="335">
                  <c:v>#N/A</c:v>
                </c:pt>
                <c:pt idx="336">
                  <c:v>#N/A</c:v>
                </c:pt>
                <c:pt idx="337">
                  <c:v>#N/A</c:v>
                </c:pt>
                <c:pt idx="338">
                  <c:v>517.23645233689865</c:v>
                </c:pt>
                <c:pt idx="339">
                  <c:v>#N/A</c:v>
                </c:pt>
                <c:pt idx="340">
                  <c:v>#N/A</c:v>
                </c:pt>
                <c:pt idx="341">
                  <c:v>#N/A</c:v>
                </c:pt>
                <c:pt idx="342">
                  <c:v>#N/A</c:v>
                </c:pt>
                <c:pt idx="343">
                  <c:v>#N/A</c:v>
                </c:pt>
                <c:pt idx="344">
                  <c:v>#N/A</c:v>
                </c:pt>
                <c:pt idx="345">
                  <c:v>#N/A</c:v>
                </c:pt>
                <c:pt idx="346">
                  <c:v>#N/A</c:v>
                </c:pt>
                <c:pt idx="347">
                  <c:v>#N/A</c:v>
                </c:pt>
                <c:pt idx="348">
                  <c:v>536.71933379621464</c:v>
                </c:pt>
                <c:pt idx="349">
                  <c:v>#N/A</c:v>
                </c:pt>
                <c:pt idx="350">
                  <c:v>#N/A</c:v>
                </c:pt>
                <c:pt idx="351">
                  <c:v>#N/A</c:v>
                </c:pt>
                <c:pt idx="352">
                  <c:v>#N/A</c:v>
                </c:pt>
                <c:pt idx="353">
                  <c:v>#N/A</c:v>
                </c:pt>
                <c:pt idx="354">
                  <c:v>#N/A</c:v>
                </c:pt>
                <c:pt idx="355">
                  <c:v>#N/A</c:v>
                </c:pt>
                <c:pt idx="356">
                  <c:v>#N/A</c:v>
                </c:pt>
                <c:pt idx="357">
                  <c:v>#N/A</c:v>
                </c:pt>
                <c:pt idx="358">
                  <c:v>555.58457306916853</c:v>
                </c:pt>
                <c:pt idx="359">
                  <c:v>#N/A</c:v>
                </c:pt>
                <c:pt idx="360">
                  <c:v>#N/A</c:v>
                </c:pt>
                <c:pt idx="361">
                  <c:v>#N/A</c:v>
                </c:pt>
                <c:pt idx="362">
                  <c:v>#N/A</c:v>
                </c:pt>
                <c:pt idx="363">
                  <c:v>#N/A</c:v>
                </c:pt>
                <c:pt idx="364">
                  <c:v>#N/A</c:v>
                </c:pt>
                <c:pt idx="365">
                  <c:v>#N/A</c:v>
                </c:pt>
                <c:pt idx="366">
                  <c:v>#N/A</c:v>
                </c:pt>
                <c:pt idx="367">
                  <c:v>#N/A</c:v>
                </c:pt>
                <c:pt idx="368">
                  <c:v>573.75072609675294</c:v>
                </c:pt>
                <c:pt idx="369">
                  <c:v>#N/A</c:v>
                </c:pt>
                <c:pt idx="370">
                  <c:v>#N/A</c:v>
                </c:pt>
                <c:pt idx="371">
                  <c:v>#N/A</c:v>
                </c:pt>
                <c:pt idx="372">
                  <c:v>#N/A</c:v>
                </c:pt>
                <c:pt idx="373">
                  <c:v>#N/A</c:v>
                </c:pt>
                <c:pt idx="374">
                  <c:v>#N/A</c:v>
                </c:pt>
                <c:pt idx="375">
                  <c:v>#N/A</c:v>
                </c:pt>
                <c:pt idx="376">
                  <c:v>#N/A</c:v>
                </c:pt>
                <c:pt idx="377">
                  <c:v>#N/A</c:v>
                </c:pt>
                <c:pt idx="378">
                  <c:v>591.14918769285703</c:v>
                </c:pt>
                <c:pt idx="379">
                  <c:v>#N/A</c:v>
                </c:pt>
                <c:pt idx="380">
                  <c:v>#N/A</c:v>
                </c:pt>
                <c:pt idx="381">
                  <c:v>#N/A</c:v>
                </c:pt>
                <c:pt idx="382">
                  <c:v>#N/A</c:v>
                </c:pt>
                <c:pt idx="383">
                  <c:v>#N/A</c:v>
                </c:pt>
                <c:pt idx="384">
                  <c:v>#N/A</c:v>
                </c:pt>
                <c:pt idx="385">
                  <c:v>#N/A</c:v>
                </c:pt>
                <c:pt idx="386">
                  <c:v>#N/A</c:v>
                </c:pt>
                <c:pt idx="387">
                  <c:v>#N/A</c:v>
                </c:pt>
                <c:pt idx="388">
                  <c:v>607.72622741011321</c:v>
                </c:pt>
                <c:pt idx="389">
                  <c:v>#N/A</c:v>
                </c:pt>
                <c:pt idx="390">
                  <c:v>#N/A</c:v>
                </c:pt>
                <c:pt idx="391">
                  <c:v>#N/A</c:v>
                </c:pt>
                <c:pt idx="392">
                  <c:v>#N/A</c:v>
                </c:pt>
                <c:pt idx="393">
                  <c:v>#N/A</c:v>
                </c:pt>
                <c:pt idx="394">
                  <c:v>#N/A</c:v>
                </c:pt>
                <c:pt idx="395">
                  <c:v>#N/A</c:v>
                </c:pt>
                <c:pt idx="396">
                  <c:v>#N/A</c:v>
                </c:pt>
                <c:pt idx="397">
                  <c:v>#N/A</c:v>
                </c:pt>
                <c:pt idx="398">
                  <c:v>623.44356898216461</c:v>
                </c:pt>
                <c:pt idx="399">
                  <c:v>#N/A</c:v>
                </c:pt>
                <c:pt idx="400">
                  <c:v>#N/A</c:v>
                </c:pt>
                <c:pt idx="401">
                  <c:v>#N/A</c:v>
                </c:pt>
                <c:pt idx="402">
                  <c:v>#N/A</c:v>
                </c:pt>
                <c:pt idx="403">
                  <c:v>#N/A</c:v>
                </c:pt>
                <c:pt idx="404">
                  <c:v>#N/A</c:v>
                </c:pt>
                <c:pt idx="405">
                  <c:v>#N/A</c:v>
                </c:pt>
                <c:pt idx="406">
                  <c:v>#N/A</c:v>
                </c:pt>
                <c:pt idx="407">
                  <c:v>#N/A</c:v>
                </c:pt>
                <c:pt idx="408">
                  <c:v>638.27796736880919</c:v>
                </c:pt>
                <c:pt idx="409">
                  <c:v>#N/A</c:v>
                </c:pt>
                <c:pt idx="410">
                  <c:v>#N/A</c:v>
                </c:pt>
                <c:pt idx="411">
                  <c:v>#N/A</c:v>
                </c:pt>
                <c:pt idx="412">
                  <c:v>#N/A</c:v>
                </c:pt>
                <c:pt idx="413">
                  <c:v>#N/A</c:v>
                </c:pt>
                <c:pt idx="414">
                  <c:v>#N/A</c:v>
                </c:pt>
                <c:pt idx="415">
                  <c:v>#N/A</c:v>
                </c:pt>
                <c:pt idx="416">
                  <c:v>#N/A</c:v>
                </c:pt>
                <c:pt idx="417">
                  <c:v>#N/A</c:v>
                </c:pt>
                <c:pt idx="418">
                  <c:v>652.22010004989011</c:v>
                </c:pt>
                <c:pt idx="419">
                  <c:v>#N/A</c:v>
                </c:pt>
                <c:pt idx="420">
                  <c:v>#N/A</c:v>
                </c:pt>
                <c:pt idx="421">
                  <c:v>#N/A</c:v>
                </c:pt>
                <c:pt idx="422">
                  <c:v>#N/A</c:v>
                </c:pt>
                <c:pt idx="423">
                  <c:v>#N/A</c:v>
                </c:pt>
                <c:pt idx="424">
                  <c:v>#N/A</c:v>
                </c:pt>
                <c:pt idx="425">
                  <c:v>#N/A</c:v>
                </c:pt>
                <c:pt idx="426">
                  <c:v>#N/A</c:v>
                </c:pt>
                <c:pt idx="427">
                  <c:v>#N/A</c:v>
                </c:pt>
                <c:pt idx="428">
                  <c:v>665.27302121004334</c:v>
                </c:pt>
                <c:pt idx="429">
                  <c:v>#N/A</c:v>
                </c:pt>
                <c:pt idx="430">
                  <c:v>#N/A</c:v>
                </c:pt>
                <c:pt idx="431">
                  <c:v>#N/A</c:v>
                </c:pt>
                <c:pt idx="432">
                  <c:v>#N/A</c:v>
                </c:pt>
                <c:pt idx="433">
                  <c:v>#N/A</c:v>
                </c:pt>
                <c:pt idx="434">
                  <c:v>#N/A</c:v>
                </c:pt>
                <c:pt idx="435">
                  <c:v>#N/A</c:v>
                </c:pt>
                <c:pt idx="436">
                  <c:v>#N/A</c:v>
                </c:pt>
                <c:pt idx="437">
                  <c:v>#N/A</c:v>
                </c:pt>
                <c:pt idx="438">
                  <c:v>677.45037984253418</c:v>
                </c:pt>
                <c:pt idx="439">
                  <c:v>#N/A</c:v>
                </c:pt>
                <c:pt idx="440">
                  <c:v>#N/A</c:v>
                </c:pt>
                <c:pt idx="441">
                  <c:v>#N/A</c:v>
                </c:pt>
                <c:pt idx="442">
                  <c:v>#N/A</c:v>
                </c:pt>
                <c:pt idx="443">
                  <c:v>#N/A</c:v>
                </c:pt>
                <c:pt idx="444">
                  <c:v>#N/A</c:v>
                </c:pt>
                <c:pt idx="445">
                  <c:v>#N/A</c:v>
                </c:pt>
                <c:pt idx="446">
                  <c:v>#N/A</c:v>
                </c:pt>
                <c:pt idx="447">
                  <c:v>#N/A</c:v>
                </c:pt>
                <c:pt idx="448">
                  <c:v>688.77456046932639</c:v>
                </c:pt>
                <c:pt idx="449">
                  <c:v>#N/A</c:v>
                </c:pt>
                <c:pt idx="450">
                  <c:v>#N/A</c:v>
                </c:pt>
                <c:pt idx="451">
                  <c:v>#N/A</c:v>
                </c:pt>
                <c:pt idx="452">
                  <c:v>#N/A</c:v>
                </c:pt>
                <c:pt idx="453">
                  <c:v>#N/A</c:v>
                </c:pt>
                <c:pt idx="454">
                  <c:v>#N/A</c:v>
                </c:pt>
                <c:pt idx="455">
                  <c:v>#N/A</c:v>
                </c:pt>
                <c:pt idx="456">
                  <c:v>#N/A</c:v>
                </c:pt>
                <c:pt idx="457">
                  <c:v>#N/A</c:v>
                </c:pt>
                <c:pt idx="458">
                  <c:v>699.27486529307703</c:v>
                </c:pt>
                <c:pt idx="459">
                  <c:v>#N/A</c:v>
                </c:pt>
                <c:pt idx="460">
                  <c:v>#N/A</c:v>
                </c:pt>
                <c:pt idx="461">
                  <c:v>#N/A</c:v>
                </c:pt>
                <c:pt idx="462">
                  <c:v>#N/A</c:v>
                </c:pt>
                <c:pt idx="463">
                  <c:v>#N/A</c:v>
                </c:pt>
                <c:pt idx="464">
                  <c:v>#N/A</c:v>
                </c:pt>
                <c:pt idx="465">
                  <c:v>#N/A</c:v>
                </c:pt>
                <c:pt idx="466">
                  <c:v>#N/A</c:v>
                </c:pt>
                <c:pt idx="467">
                  <c:v>#N/A</c:v>
                </c:pt>
                <c:pt idx="468">
                  <c:v>708.98582017705735</c:v>
                </c:pt>
                <c:pt idx="469">
                  <c:v>#N/A</c:v>
                </c:pt>
                <c:pt idx="470">
                  <c:v>#N/A</c:v>
                </c:pt>
                <c:pt idx="471">
                  <c:v>#N/A</c:v>
                </c:pt>
                <c:pt idx="472">
                  <c:v>#N/A</c:v>
                </c:pt>
                <c:pt idx="473">
                  <c:v>#N/A</c:v>
                </c:pt>
                <c:pt idx="474">
                  <c:v>#N/A</c:v>
                </c:pt>
                <c:pt idx="475">
                  <c:v>#N/A</c:v>
                </c:pt>
                <c:pt idx="476">
                  <c:v>#N/A</c:v>
                </c:pt>
                <c:pt idx="477">
                  <c:v>#N/A</c:v>
                </c:pt>
                <c:pt idx="478">
                  <c:v>717.94565545983403</c:v>
                </c:pt>
                <c:pt idx="479">
                  <c:v>#N/A</c:v>
                </c:pt>
                <c:pt idx="480">
                  <c:v>#N/A</c:v>
                </c:pt>
                <c:pt idx="481">
                  <c:v>#N/A</c:v>
                </c:pt>
                <c:pt idx="482">
                  <c:v>#N/A</c:v>
                </c:pt>
                <c:pt idx="483">
                  <c:v>#N/A</c:v>
                </c:pt>
                <c:pt idx="484">
                  <c:v>#N/A</c:v>
                </c:pt>
                <c:pt idx="485">
                  <c:v>#N/A</c:v>
                </c:pt>
                <c:pt idx="486">
                  <c:v>#N/A</c:v>
                </c:pt>
                <c:pt idx="487">
                  <c:v>#N/A</c:v>
                </c:pt>
                <c:pt idx="488">
                  <c:v>726.1949872346496</c:v>
                </c:pt>
                <c:pt idx="489">
                  <c:v>#N/A</c:v>
                </c:pt>
                <c:pt idx="490">
                  <c:v>#N/A</c:v>
                </c:pt>
                <c:pt idx="491">
                  <c:v>#N/A</c:v>
                </c:pt>
                <c:pt idx="492">
                  <c:v>#N/A</c:v>
                </c:pt>
                <c:pt idx="493">
                  <c:v>#N/A</c:v>
                </c:pt>
                <c:pt idx="494">
                  <c:v>#N/A</c:v>
                </c:pt>
                <c:pt idx="495">
                  <c:v>#N/A</c:v>
                </c:pt>
                <c:pt idx="496">
                  <c:v>#N/A</c:v>
                </c:pt>
                <c:pt idx="497">
                  <c:v>#N/A</c:v>
                </c:pt>
                <c:pt idx="498">
                  <c:v>733.77570553741316</c:v>
                </c:pt>
                <c:pt idx="499">
                  <c:v>#N/A</c:v>
                </c:pt>
                <c:pt idx="500">
                  <c:v>#N/A</c:v>
                </c:pt>
                <c:pt idx="501">
                  <c:v>#N/A</c:v>
                </c:pt>
                <c:pt idx="502">
                  <c:v>#N/A</c:v>
                </c:pt>
                <c:pt idx="503">
                  <c:v>#N/A</c:v>
                </c:pt>
                <c:pt idx="504">
                  <c:v>#N/A</c:v>
                </c:pt>
                <c:pt idx="505">
                  <c:v>#N/A</c:v>
                </c:pt>
                <c:pt idx="506">
                  <c:v>#N/A</c:v>
                </c:pt>
                <c:pt idx="507">
                  <c:v>#N/A</c:v>
                </c:pt>
                <c:pt idx="508">
                  <c:v>740.73006242243878</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497.16938386972515</c:v>
                </c:pt>
                <c:pt idx="1">
                  <c:v>498.89573959931016</c:v>
                </c:pt>
                <c:pt idx="2">
                  <c:v>500.62273167179706</c:v>
                </c:pt>
                <c:pt idx="3">
                  <c:v>502.35320005311092</c:v>
                </c:pt>
                <c:pt idx="4">
                  <c:v>504.08765724446886</c:v>
                </c:pt>
                <c:pt idx="5">
                  <c:v>505.82560681945085</c:v>
                </c:pt>
                <c:pt idx="6">
                  <c:v>507.56685996383527</c:v>
                </c:pt>
                <c:pt idx="7">
                  <c:v>509.31138158541756</c:v>
                </c:pt>
                <c:pt idx="8">
                  <c:v>511.05913664583966</c:v>
                </c:pt>
                <c:pt idx="9">
                  <c:v>512.81009016116366</c:v>
                </c:pt>
                <c:pt idx="10">
                  <c:v>514.56420720243705</c:v>
                </c:pt>
                <c:pt idx="11">
                  <c:v>516.32145289624896</c:v>
                </c:pt>
                <c:pt idx="12">
                  <c:v>518.08179242527808</c:v>
                </c:pt>
                <c:pt idx="13">
                  <c:v>519.84519102883144</c:v>
                </c:pt>
                <c:pt idx="14">
                  <c:v>521.61161400337528</c:v>
                </c:pt>
                <c:pt idx="15">
                  <c:v>523.38102670305636</c:v>
                </c:pt>
                <c:pt idx="16">
                  <c:v>525.1533945402158</c:v>
                </c:pt>
                <c:pt idx="17">
                  <c:v>526.92868298589349</c:v>
                </c:pt>
                <c:pt idx="18">
                  <c:v>528.70685757032436</c:v>
                </c:pt>
                <c:pt idx="19">
                  <c:v>530.48788388342643</c:v>
                </c:pt>
                <c:pt idx="20">
                  <c:v>532.27172757527978</c:v>
                </c:pt>
                <c:pt idx="21">
                  <c:v>534.05835435659776</c:v>
                </c:pt>
                <c:pt idx="22">
                  <c:v>535.84772999918926</c:v>
                </c:pt>
                <c:pt idx="23">
                  <c:v>537.63982033641309</c:v>
                </c:pt>
                <c:pt idx="24">
                  <c:v>539.43459126362404</c:v>
                </c:pt>
                <c:pt idx="25">
                  <c:v>541.23200873860992</c:v>
                </c:pt>
                <c:pt idx="26">
                  <c:v>543.03203878202157</c:v>
                </c:pt>
                <c:pt idx="27">
                  <c:v>544.83464747779362</c:v>
                </c:pt>
                <c:pt idx="28">
                  <c:v>546.63980097355761</c:v>
                </c:pt>
                <c:pt idx="29">
                  <c:v>548.44746548104706</c:v>
                </c:pt>
                <c:pt idx="30">
                  <c:v>550.2576072764939</c:v>
                </c:pt>
                <c:pt idx="31">
                  <c:v>552.07019270101739</c:v>
                </c:pt>
                <c:pt idx="32">
                  <c:v>553.88518816100498</c:v>
                </c:pt>
                <c:pt idx="33">
                  <c:v>555.70256012848495</c:v>
                </c:pt>
                <c:pt idx="34">
                  <c:v>557.52227514149126</c:v>
                </c:pt>
                <c:pt idx="35">
                  <c:v>559.34429980442042</c:v>
                </c:pt>
                <c:pt idx="36">
                  <c:v>561.16860078838067</c:v>
                </c:pt>
                <c:pt idx="37">
                  <c:v>562.99514483153337</c:v>
                </c:pt>
                <c:pt idx="38">
                  <c:v>564.82389873942645</c:v>
                </c:pt>
                <c:pt idx="39">
                  <c:v>566.65482938532023</c:v>
                </c:pt>
                <c:pt idx="40">
                  <c:v>568.48790371050552</c:v>
                </c:pt>
                <c:pt idx="41">
                  <c:v>570.32308872461442</c:v>
                </c:pt>
                <c:pt idx="42">
                  <c:v>572.1603515059229</c:v>
                </c:pt>
                <c:pt idx="43">
                  <c:v>573.99965920164652</c:v>
                </c:pt>
                <c:pt idx="44">
                  <c:v>575.84097902822828</c:v>
                </c:pt>
                <c:pt idx="45">
                  <c:v>577.68427827161906</c:v>
                </c:pt>
                <c:pt idx="46">
                  <c:v>579.52952428755066</c:v>
                </c:pt>
                <c:pt idx="47">
                  <c:v>581.37668450180161</c:v>
                </c:pt>
                <c:pt idx="48">
                  <c:v>583.22572641045554</c:v>
                </c:pt>
                <c:pt idx="49">
                  <c:v>585.07661758015252</c:v>
                </c:pt>
                <c:pt idx="50">
                  <c:v>586.92932564833291</c:v>
                </c:pt>
                <c:pt idx="51">
                  <c:v>588.78381832347418</c:v>
                </c:pt>
                <c:pt idx="52">
                  <c:v>590.64006338532056</c:v>
                </c:pt>
                <c:pt idx="53">
                  <c:v>592.49802868510585</c:v>
                </c:pt>
                <c:pt idx="54">
                  <c:v>594.35768214576876</c:v>
                </c:pt>
                <c:pt idx="55">
                  <c:v>596.21899176216198</c:v>
                </c:pt>
                <c:pt idx="56">
                  <c:v>598.08192560125349</c:v>
                </c:pt>
                <c:pt idx="57">
                  <c:v>599.94645180232192</c:v>
                </c:pt>
                <c:pt idx="58">
                  <c:v>601.81253857714432</c:v>
                </c:pt>
                <c:pt idx="59">
                  <c:v>603.68015421017753</c:v>
                </c:pt>
                <c:pt idx="60">
                  <c:v>605.54926705873288</c:v>
                </c:pt>
                <c:pt idx="61">
                  <c:v>607.41984555314411</c:v>
                </c:pt>
                <c:pt idx="62">
                  <c:v>609.29185819692862</c:v>
                </c:pt>
                <c:pt idx="63">
                  <c:v>611.16526021641982</c:v>
                </c:pt>
                <c:pt idx="64">
                  <c:v>613.03998023910196</c:v>
                </c:pt>
                <c:pt idx="65">
                  <c:v>614.91593370879411</c:v>
                </c:pt>
                <c:pt idx="66">
                  <c:v>616.79303627257457</c:v>
                </c:pt>
                <c:pt idx="67">
                  <c:v>618.67119154378247</c:v>
                </c:pt>
                <c:pt idx="68">
                  <c:v>620.55027889256962</c:v>
                </c:pt>
                <c:pt idx="69">
                  <c:v>622.43014398025457</c:v>
                </c:pt>
                <c:pt idx="70">
                  <c:v>624.3105893178938</c:v>
                </c:pt>
                <c:pt idx="71">
                  <c:v>626.19139614741255</c:v>
                </c:pt>
                <c:pt idx="72">
                  <c:v>628.07234627371463</c:v>
                </c:pt>
                <c:pt idx="73">
                  <c:v>629.95322207108086</c:v>
                </c:pt>
                <c:pt idx="74">
                  <c:v>631.83380648928471</c:v>
                </c:pt>
                <c:pt idx="75">
                  <c:v>633.71388305942742</c:v>
                </c:pt>
                <c:pt idx="76">
                  <c:v>635.5932358994944</c:v>
                </c:pt>
                <c:pt idx="77">
                  <c:v>637.47164971963605</c:v>
                </c:pt>
                <c:pt idx="78">
                  <c:v>639.34890982717468</c:v>
                </c:pt>
                <c:pt idx="79">
                  <c:v>641.22480213134043</c:v>
                </c:pt>
                <c:pt idx="80">
                  <c:v>643.09911314773831</c:v>
                </c:pt>
                <c:pt idx="81">
                  <c:v>644.9716558907736</c:v>
                </c:pt>
                <c:pt idx="82">
                  <c:v>646.84229569084152</c:v>
                </c:pt>
                <c:pt idx="83">
                  <c:v>648.71092415512294</c:v>
                </c:pt>
                <c:pt idx="84">
                  <c:v>650.57743320143447</c:v>
                </c:pt>
                <c:pt idx="85">
                  <c:v>652.44171505816939</c:v>
                </c:pt>
                <c:pt idx="86">
                  <c:v>654.30366226417652</c:v>
                </c:pt>
                <c:pt idx="87">
                  <c:v>656.16316766858006</c:v>
                </c:pt>
                <c:pt idx="88">
                  <c:v>658.020124430539</c:v>
                </c:pt>
                <c:pt idx="89">
                  <c:v>659.8744341973246</c:v>
                </c:pt>
                <c:pt idx="90">
                  <c:v>661.72601525758</c:v>
                </c:pt>
                <c:pt idx="91">
                  <c:v>663.57479431251056</c:v>
                </c:pt>
                <c:pt idx="92">
                  <c:v>665.42069827167882</c:v>
                </c:pt>
                <c:pt idx="93">
                  <c:v>667.26365629703207</c:v>
                </c:pt>
                <c:pt idx="94">
                  <c:v>669.10360184063438</c:v>
                </c:pt>
                <c:pt idx="95">
                  <c:v>670.9404705865926</c:v>
                </c:pt>
                <c:pt idx="96">
                  <c:v>672.77419839923891</c:v>
                </c:pt>
                <c:pt idx="97">
                  <c:v>674.6047295013326</c:v>
                </c:pt>
                <c:pt idx="98">
                  <c:v>676.43202462690215</c:v>
                </c:pt>
                <c:pt idx="99">
                  <c:v>678.25605279092724</c:v>
                </c:pt>
                <c:pt idx="100">
                  <c:v>680.07678308450363</c:v>
                </c:pt>
                <c:pt idx="101">
                  <c:v>681.89418467431676</c:v>
                </c:pt>
                <c:pt idx="102">
                  <c:v>683.70822680211359</c:v>
                </c:pt>
                <c:pt idx="103">
                  <c:v>685.51887878417324</c:v>
                </c:pt>
                <c:pt idx="104">
                  <c:v>687.32611001077612</c:v>
                </c:pt>
                <c:pt idx="105">
                  <c:v>689.12988994567115</c:v>
                </c:pt>
                <c:pt idx="106">
                  <c:v>690.93018812554192</c:v>
                </c:pt>
                <c:pt idx="107">
                  <c:v>692.72697415947118</c:v>
                </c:pt>
                <c:pt idx="108">
                  <c:v>694.52021772840419</c:v>
                </c:pt>
                <c:pt idx="109">
                  <c:v>696.30989880621405</c:v>
                </c:pt>
                <c:pt idx="110">
                  <c:v>698.09601784895585</c:v>
                </c:pt>
                <c:pt idx="111">
                  <c:v>699.87858550997441</c:v>
                </c:pt>
                <c:pt idx="112">
                  <c:v>701.6576123872843</c:v>
                </c:pt>
                <c:pt idx="113">
                  <c:v>703.43310902395137</c:v>
                </c:pt>
                <c:pt idx="114">
                  <c:v>705.20508590847032</c:v>
                </c:pt>
                <c:pt idx="115">
                  <c:v>706.97355347513962</c:v>
                </c:pt>
                <c:pt idx="116">
                  <c:v>708.73852210443295</c:v>
                </c:pt>
                <c:pt idx="117">
                  <c:v>710.50000212336715</c:v>
                </c:pt>
                <c:pt idx="118">
                  <c:v>712.25800380586782</c:v>
                </c:pt>
                <c:pt idx="119">
                  <c:v>714.01253737313061</c:v>
                </c:pt>
                <c:pt idx="120">
                  <c:v>715.7636129939807</c:v>
                </c:pt>
                <c:pt idx="121">
                  <c:v>717.5112407852281</c:v>
                </c:pt>
                <c:pt idx="122">
                  <c:v>719.25543081202034</c:v>
                </c:pt>
                <c:pt idx="123">
                  <c:v>720.99619308819263</c:v>
                </c:pt>
                <c:pt idx="124">
                  <c:v>722.73353757661425</c:v>
                </c:pt>
                <c:pt idx="125">
                  <c:v>724.46747418953225</c:v>
                </c:pt>
                <c:pt idx="126">
                  <c:v>726.19801278891248</c:v>
                </c:pt>
                <c:pt idx="127">
                  <c:v>727.92516318677758</c:v>
                </c:pt>
                <c:pt idx="128">
                  <c:v>729.64893514554217</c:v>
                </c:pt>
                <c:pt idx="129">
                  <c:v>731.36933837834488</c:v>
                </c:pt>
                <c:pt idx="130">
                  <c:v>733.08638254937807</c:v>
                </c:pt>
                <c:pt idx="131">
                  <c:v>734.80007727421435</c:v>
                </c:pt>
                <c:pt idx="132">
                  <c:v>736.51043212013087</c:v>
                </c:pt>
                <c:pt idx="133">
                  <c:v>738.21745660643023</c:v>
                </c:pt>
                <c:pt idx="134">
                  <c:v>739.92116020475919</c:v>
                </c:pt>
                <c:pt idx="135">
                  <c:v>741.62155233942462</c:v>
                </c:pt>
                <c:pt idx="136">
                  <c:v>743.31864238770663</c:v>
                </c:pt>
                <c:pt idx="137">
                  <c:v>745.01243968016945</c:v>
                </c:pt>
                <c:pt idx="138">
                  <c:v>746.70295350096933</c:v>
                </c:pt>
                <c:pt idx="139">
                  <c:v>748.39019308816012</c:v>
                </c:pt>
                <c:pt idx="140">
                  <c:v>750.07416763399613</c:v>
                </c:pt>
                <c:pt idx="141">
                  <c:v>751.75488628523283</c:v>
                </c:pt>
                <c:pt idx="142">
                  <c:v>753.43235814342472</c:v>
                </c:pt>
                <c:pt idx="143">
                  <c:v>755.10659226522091</c:v>
                </c:pt>
                <c:pt idx="144">
                  <c:v>756.77759766265831</c:v>
                </c:pt>
                <c:pt idx="145">
                  <c:v>758.44538330345199</c:v>
                </c:pt>
                <c:pt idx="146">
                  <c:v>760.10995811128396</c:v>
                </c:pt>
                <c:pt idx="147">
                  <c:v>761.77133096608884</c:v>
                </c:pt>
                <c:pt idx="148">
                  <c:v>763.42951070433753</c:v>
                </c:pt>
                <c:pt idx="149">
                  <c:v>765.08450611931846</c:v>
                </c:pt>
                <c:pt idx="150">
                  <c:v>766.73632596141681</c:v>
                </c:pt>
                <c:pt idx="151">
                  <c:v>768.38497893839099</c:v>
                </c:pt>
                <c:pt idx="152">
                  <c:v>770.0304737156473</c:v>
                </c:pt>
                <c:pt idx="153">
                  <c:v>771.67281891651214</c:v>
                </c:pt>
                <c:pt idx="154">
                  <c:v>773.31202312250218</c:v>
                </c:pt>
                <c:pt idx="155">
                  <c:v>774.94809487359191</c:v>
                </c:pt>
                <c:pt idx="156">
                  <c:v>776.58104266847965</c:v>
                </c:pt>
                <c:pt idx="157">
                  <c:v>778.2108749648512</c:v>
                </c:pt>
                <c:pt idx="158">
                  <c:v>779.83760017964096</c:v>
                </c:pt>
                <c:pt idx="159">
                  <c:v>781.46122668929161</c:v>
                </c:pt>
                <c:pt idx="160">
                  <c:v>783.08176283001126</c:v>
                </c:pt>
                <c:pt idx="161">
                  <c:v>784.69921689802857</c:v>
                </c:pt>
                <c:pt idx="162">
                  <c:v>786.31359714984615</c:v>
                </c:pt>
                <c:pt idx="163">
                  <c:v>787.92491180249147</c:v>
                </c:pt>
                <c:pt idx="164">
                  <c:v>789.53316903376628</c:v>
                </c:pt>
                <c:pt idx="165">
                  <c:v>791.13837698249358</c:v>
                </c:pt>
                <c:pt idx="166">
                  <c:v>792.74054374876289</c:v>
                </c:pt>
                <c:pt idx="167">
                  <c:v>794.33967739417358</c:v>
                </c:pt>
                <c:pt idx="168">
                  <c:v>795.93578594207611</c:v>
                </c:pt>
                <c:pt idx="169">
                  <c:v>797.52887737781168</c:v>
                </c:pt>
                <c:pt idx="170">
                  <c:v>799.11895964894961</c:v>
                </c:pt>
                <c:pt idx="171">
                  <c:v>800.70604066552289</c:v>
                </c:pt>
                <c:pt idx="172">
                  <c:v>802.29012830026238</c:v>
                </c:pt>
                <c:pt idx="173">
                  <c:v>803.87123038882839</c:v>
                </c:pt>
                <c:pt idx="174">
                  <c:v>805.44935473004125</c:v>
                </c:pt>
                <c:pt idx="175">
                  <c:v>807.02450908610933</c:v>
                </c:pt>
                <c:pt idx="176">
                  <c:v>808.5967011828559</c:v>
                </c:pt>
                <c:pt idx="177">
                  <c:v>810.1659387099437</c:v>
                </c:pt>
                <c:pt idx="178">
                  <c:v>811.73222932109832</c:v>
                </c:pt>
                <c:pt idx="179">
                  <c:v>813.29558063432921</c:v>
                </c:pt>
                <c:pt idx="180">
                  <c:v>814.85600023214954</c:v>
                </c:pt>
                <c:pt idx="181">
                  <c:v>816.41349566179395</c:v>
                </c:pt>
                <c:pt idx="182">
                  <c:v>817.96807443543491</c:v>
                </c:pt>
                <c:pt idx="183">
                  <c:v>819.51974403039719</c:v>
                </c:pt>
                <c:pt idx="184">
                  <c:v>821.06851188937071</c:v>
                </c:pt>
                <c:pt idx="185">
                  <c:v>822.61438542062194</c:v>
                </c:pt>
                <c:pt idx="186">
                  <c:v>824.15737199820353</c:v>
                </c:pt>
                <c:pt idx="187">
                  <c:v>825.69747896216211</c:v>
                </c:pt>
                <c:pt idx="188">
                  <c:v>827.23471361874499</c:v>
                </c:pt>
                <c:pt idx="189">
                  <c:v>828.76908324060491</c:v>
                </c:pt>
                <c:pt idx="190">
                  <c:v>830.30059506700343</c:v>
                </c:pt>
                <c:pt idx="191">
                  <c:v>831.82925630401223</c:v>
                </c:pt>
                <c:pt idx="192">
                  <c:v>833.35507412471395</c:v>
                </c:pt>
                <c:pt idx="193">
                  <c:v>834.87805566940051</c:v>
                </c:pt>
                <c:pt idx="194">
                  <c:v>836.39820804577016</c:v>
                </c:pt>
                <c:pt idx="195">
                  <c:v>837.91553832912325</c:v>
                </c:pt>
                <c:pt idx="196">
                  <c:v>839.43005356255674</c:v>
                </c:pt>
                <c:pt idx="197">
                  <c:v>840.94176075715643</c:v>
                </c:pt>
                <c:pt idx="198">
                  <c:v>842.45066689218856</c:v>
                </c:pt>
                <c:pt idx="199">
                  <c:v>843.95677891528931</c:v>
                </c:pt>
                <c:pt idx="200">
                  <c:v>845.46010374265359</c:v>
                </c:pt>
                <c:pt idx="201">
                  <c:v>860.34058948310269</c:v>
                </c:pt>
                <c:pt idx="202">
                  <c:v>874.94677406198548</c:v>
                </c:pt>
                <c:pt idx="203">
                  <c:v>889.28528057435142</c:v>
                </c:pt>
                <c:pt idx="204">
                  <c:v>903.36244111234146</c:v>
                </c:pt>
                <c:pt idx="205">
                  <c:v>917.18431336203446</c:v>
                </c:pt>
                <c:pt idx="206">
                  <c:v>930.75669601764514</c:v>
                </c:pt>
                <c:pt idx="207">
                  <c:v>944.08514311313081</c:v>
                </c:pt>
                <c:pt idx="208">
                  <c:v>957.17497736148778</c:v>
                </c:pt>
                <c:pt idx="209">
                  <c:v>970.03130258331862</c:v>
                </c:pt>
                <c:pt idx="210">
                  <c:v>982.65901529849975</c:v>
                </c:pt>
                <c:pt idx="211">
                  <c:v>995.06281554786165</c:v>
                </c:pt>
                <c:pt idx="212">
                  <c:v>1007.2472170056067</c:v>
                </c:pt>
                <c:pt idx="213">
                  <c:v>1019.2165564376544</c:v>
                </c:pt>
                <c:pt idx="214">
                  <c:v>1030.9750025561332</c:v>
                </c:pt>
                <c:pt idx="215">
                  <c:v>1042.5265643157777</c:v>
                </c:pt>
                <c:pt idx="216">
                  <c:v>1053.8750986939813</c:v>
                </c:pt>
                <c:pt idx="217">
                  <c:v>1065.0243179926308</c:v>
                </c:pt>
                <c:pt idx="218">
                  <c:v>1075.9777966966003</c:v>
                </c:pt>
                <c:pt idx="219">
                  <c:v>1086.7389779208268</c:v>
                </c:pt>
                <c:pt idx="220">
                  <c:v>1097.3111794752342</c:v>
                </c:pt>
                <c:pt idx="221">
                  <c:v>1107.6975995743564</c:v>
                </c:pt>
                <c:pt idx="222">
                  <c:v>1117.9013222163239</c:v>
                </c:pt>
                <c:pt idx="223">
                  <c:v>1127.9253222538971</c:v>
                </c:pt>
                <c:pt idx="224">
                  <c:v>1137.7724701784193</c:v>
                </c:pt>
                <c:pt idx="225">
                  <c:v>1147.4455366359275</c:v>
                </c:pt>
                <c:pt idx="226">
                  <c:v>1156.9471966931587</c:v>
                </c:pt>
                <c:pt idx="227">
                  <c:v>1166.2800338698287</c:v>
                </c:pt>
                <c:pt idx="228">
                  <c:v>1175.4465439523137</c:v>
                </c:pt>
                <c:pt idx="229">
                  <c:v>1184.4491386027316</c:v>
                </c:pt>
                <c:pt idx="230">
                  <c:v>1193.2901487763725</c:v>
                </c:pt>
                <c:pt idx="231">
                  <c:v>1201.9718279594815</c:v>
                </c:pt>
                <c:pt idx="232">
                  <c:v>1210.4963552385216</c:v>
                </c:pt>
                <c:pt idx="233">
                  <c:v>1218.8658382112392</c:v>
                </c:pt>
                <c:pt idx="234">
                  <c:v>1227.0823157491263</c:v>
                </c:pt>
                <c:pt idx="235">
                  <c:v>1235.1477606201915</c:v>
                </c:pt>
                <c:pt idx="236">
                  <c:v>1243.0640819803316</c:v>
                </c:pt>
                <c:pt idx="237">
                  <c:v>1250.8331277410227</c:v>
                </c:pt>
                <c:pt idx="238">
                  <c:v>1258.4566868205245</c:v>
                </c:pt>
                <c:pt idx="239">
                  <c:v>1265.9364912852984</c:v>
                </c:pt>
                <c:pt idx="240">
                  <c:v>1273.2742183878981</c:v>
                </c:pt>
                <c:pt idx="241">
                  <c:v>1280.4714925071723</c:v>
                </c:pt>
                <c:pt idx="242">
                  <c:v>1287.5298869962357</c:v>
                </c:pt>
                <c:pt idx="243">
                  <c:v>1294.4509259433123</c:v>
                </c:pt>
                <c:pt idx="244">
                  <c:v>1301.2360858502236</c:v>
                </c:pt>
                <c:pt idx="245">
                  <c:v>1307.886797232994</c:v>
                </c:pt>
                <c:pt idx="246">
                  <c:v>1314.4044461487588</c:v>
                </c:pt>
                <c:pt idx="247">
                  <c:v>1320.7903756529063</c:v>
                </c:pt>
                <c:pt idx="248">
                  <c:v>1327.0458871901365</c:v>
                </c:pt>
                <c:pt idx="249">
                  <c:v>1333.172241922897</c:v>
                </c:pt>
                <c:pt idx="250">
                  <c:v>1339.1706620004506</c:v>
                </c:pt>
                <c:pt idx="251">
                  <c:v>1345.04233177163</c:v>
                </c:pt>
                <c:pt idx="252">
                  <c:v>1350.7883989441607</c:v>
                </c:pt>
                <c:pt idx="253">
                  <c:v>1356.4099756932626</c:v>
                </c:pt>
                <c:pt idx="254">
                  <c:v>1361.9081397220871</c:v>
                </c:pt>
                <c:pt idx="255">
                  <c:v>1367.2839352764031</c:v>
                </c:pt>
                <c:pt idx="256">
                  <c:v>1372.5383741158123</c:v>
                </c:pt>
                <c:pt idx="257">
                  <c:v>1377.6724364436477</c:v>
                </c:pt>
                <c:pt idx="258">
                  <c:v>1382.6870717975996</c:v>
                </c:pt>
                <c:pt idx="259">
                  <c:v>1387.5831999030042</c:v>
                </c:pt>
                <c:pt idx="260">
                  <c:v>1392.3617114906324</c:v>
                </c:pt>
                <c:pt idx="261">
                  <c:v>1397.0234690807297</c:v>
                </c:pt>
                <c:pt idx="262">
                  <c:v>1401.5693077349738</c:v>
                </c:pt>
                <c:pt idx="263">
                  <c:v>1406.0000357779422</c:v>
                </c:pt>
                <c:pt idx="264">
                  <c:v>1410.3164354896151</c:v>
                </c:pt>
                <c:pt idx="265">
                  <c:v>1414.5192637703781</c:v>
                </c:pt>
                <c:pt idx="266">
                  <c:v>1418.6092527799356</c:v>
                </c:pt>
                <c:pt idx="267">
                  <c:v>1422.5871105514993</c:v>
                </c:pt>
                <c:pt idx="268">
                  <c:v>1426.4535215825749</c:v>
                </c:pt>
                <c:pt idx="269">
                  <c:v>1430.2091474036406</c:v>
                </c:pt>
                <c:pt idx="270">
                  <c:v>1433.8546271259822</c:v>
                </c:pt>
                <c:pt idx="271">
                  <c:v>1437.3905779699351</c:v>
                </c:pt>
                <c:pt idx="272">
                  <c:v>1440.8175957747701</c:v>
                </c:pt>
                <c:pt idx="273">
                  <c:v>1444.1362554914645</c:v>
                </c:pt>
                <c:pt idx="274">
                  <c:v>1447.3471116596004</c:v>
                </c:pt>
                <c:pt idx="275">
                  <c:v>1450.4506988696583</c:v>
                </c:pt>
                <c:pt idx="276">
                  <c:v>1453.4475322119943</c:v>
                </c:pt>
                <c:pt idx="277">
                  <c:v>1456.3381077138356</c:v>
                </c:pt>
                <c:pt idx="278">
                  <c:v>1459.1229027656755</c:v>
                </c:pt>
                <c:pt idx="279">
                  <c:v>1461.8023765385194</c:v>
                </c:pt>
                <c:pt idx="280">
                  <c:v>1464.3769703935079</c:v>
                </c:pt>
                <c:pt idx="281">
                  <c:v>1466.8471082855417</c:v>
                </c:pt>
                <c:pt idx="282">
                  <c:v>1469.2131971626427</c:v>
                </c:pt>
                <c:pt idx="283">
                  <c:v>1471.4756273629116</c:v>
                </c:pt>
                <c:pt idx="284">
                  <c:v>1473.6347730110911</c:v>
                </c:pt>
                <c:pt idx="285">
                  <c:v>1475.690992416899</c:v>
                </c:pt>
                <c:pt idx="286">
                  <c:v>1477.6446284774804</c:v>
                </c:pt>
                <c:pt idx="287">
                  <c:v>1479.4960090865077</c:v>
                </c:pt>
                <c:pt idx="288">
                  <c:v>1481.2454475526677</c:v>
                </c:pt>
                <c:pt idx="289">
                  <c:v>1482.8932430304676</c:v>
                </c:pt>
                <c:pt idx="290">
                  <c:v>1484.4396809664947</c:v>
                </c:pt>
                <c:pt idx="291">
                  <c:v>1485.8850335644427</c:v>
                </c:pt>
                <c:pt idx="292">
                  <c:v>1487.2295602723659</c:v>
                </c:pt>
                <c:pt idx="293">
                  <c:v>1488.4735082957209</c:v>
                </c:pt>
                <c:pt idx="294">
                  <c:v>1489.6171131397746</c:v>
                </c:pt>
                <c:pt idx="295">
                  <c:v>1490.660599184883</c:v>
                </c:pt>
                <c:pt idx="296">
                  <c:v>1491.6041802979344</c:v>
                </c:pt>
                <c:pt idx="297">
                  <c:v>1492.4480604828766</c:v>
                </c:pt>
                <c:pt idx="298">
                  <c:v>1493.1924345726979</c:v>
                </c:pt>
                <c:pt idx="299">
                  <c:v>1493.8374889644558</c:v>
                </c:pt>
                <c:pt idx="300">
                  <c:v>1494.3834023979637</c:v>
                </c:pt>
                <c:pt idx="301">
                  <c:v>1494.8303467775438</c:v>
                </c:pt>
                <c:pt idx="302">
                  <c:v>1495.1784880348675</c:v>
                </c:pt>
                <c:pt idx="303">
                  <c:v>1495.4279870293822</c:v>
                </c:pt>
                <c:pt idx="304">
                  <c:v>1495.579000481247</c:v>
                </c:pt>
                <c:pt idx="305">
                  <c:v>1495.6316819301612</c:v>
                </c:pt>
                <c:pt idx="306">
                  <c:v>1495.5861827120787</c:v>
                </c:pt>
                <c:pt idx="307">
                  <c:v>1495.4426529446762</c:v>
                </c:pt>
                <c:pt idx="308">
                  <c:v>1495.2012425116748</c:v>
                </c:pt>
                <c:pt idx="309">
                  <c:v>1494.8621020357705</c:v>
                </c:pt>
                <c:pt idx="310">
                  <c:v>1494.4253838300574</c:v>
                </c:pt>
                <c:pt idx="311">
                  <c:v>1493.8912428183949</c:v>
                </c:pt>
                <c:pt idx="312">
                  <c:v>1493.2598374161428</c:v>
                </c:pt>
                <c:pt idx="313">
                  <c:v>1492.5313303639764</c:v>
                </c:pt>
                <c:pt idx="314">
                  <c:v>1491.7058895089804</c:v>
                </c:pt>
                <c:pt idx="315">
                  <c:v>1490.7836885288059</c:v>
                </c:pt>
                <c:pt idx="316">
                  <c:v>1489.7649075962474</c:v>
                </c:pt>
                <c:pt idx="317">
                  <c:v>1488.6497339830596</c:v>
                </c:pt>
                <c:pt idx="318">
                  <c:v>1487.4383626031372</c:v>
                </c:pt>
                <c:pt idx="319">
                  <c:v>1486.1309964962697</c:v>
                </c:pt>
                <c:pt idx="320">
                  <c:v>1484.7278472545513</c:v>
                </c:pt>
                <c:pt idx="321">
                  <c:v>1483.2291353941666</c:v>
                </c:pt>
                <c:pt idx="322">
                  <c:v>1481.6350906757191</c:v>
                </c:pt>
                <c:pt idx="323">
                  <c:v>1479.9459523765213</c:v>
                </c:pt>
                <c:pt idx="324">
                  <c:v>1478.1619695183888</c:v>
                </c:pt>
                <c:pt idx="325">
                  <c:v>1476.2834010544673</c:v>
                </c:pt>
                <c:pt idx="326">
                  <c:v>1474.3105160185323</c:v>
                </c:pt>
                <c:pt idx="327">
                  <c:v>1472.2435936400507</c:v>
                </c:pt>
                <c:pt idx="328">
                  <c:v>1470.0829234280875</c:v>
                </c:pt>
                <c:pt idx="329">
                  <c:v>1467.8288052269343</c:v>
                </c:pt>
                <c:pt idx="330">
                  <c:v>1465.4815492460955</c:v>
                </c:pt>
                <c:pt idx="331">
                  <c:v>1463.0414760670474</c:v>
                </c:pt>
                <c:pt idx="332">
                  <c:v>1460.5089166289581</c:v>
                </c:pt>
                <c:pt idx="333">
                  <c:v>1457.8842121953503</c:v>
                </c:pt>
                <c:pt idx="334">
                  <c:v>1455.1677143034869</c:v>
                </c:pt>
                <c:pt idx="335">
                  <c:v>1452.359784698087</c:v>
                </c:pt>
                <c:pt idx="336">
                  <c:v>1449.4607952508086</c:v>
                </c:pt>
                <c:pt idx="337">
                  <c:v>1446.4711278667953</c:v>
                </c:pt>
                <c:pt idx="338">
                  <c:v>1443.3911743794451</c:v>
                </c:pt>
                <c:pt idx="339">
                  <c:v>1440.2213364344457</c:v>
                </c:pt>
                <c:pt idx="340">
                  <c:v>1436.9620253640176</c:v>
                </c:pt>
                <c:pt idx="341">
                  <c:v>1433.6136620522122</c:v>
                </c:pt>
                <c:pt idx="342">
                  <c:v>1430.176676792034</c:v>
                </c:pt>
                <c:pt idx="343">
                  <c:v>1426.6515091350793</c:v>
                </c:pt>
                <c:pt idx="344">
                  <c:v>1423.0386077343308</c:v>
                </c:pt>
                <c:pt idx="345">
                  <c:v>1419.3384301806809</c:v>
                </c:pt>
                <c:pt idx="346">
                  <c:v>1415.5514428337206</c:v>
                </c:pt>
                <c:pt idx="347">
                  <c:v>1411.6781206472765</c:v>
                </c:pt>
                <c:pt idx="348">
                  <c:v>1407.7189469901525</c:v>
                </c:pt>
                <c:pt idx="349">
                  <c:v>1403.6744134624894</c:v>
                </c:pt>
                <c:pt idx="350">
                  <c:v>1399.5450197081373</c:v>
                </c:pt>
                <c:pt idx="351">
                  <c:v>1395.3312732234001</c:v>
                </c:pt>
                <c:pt idx="352">
                  <c:v>1391.0336891624979</c:v>
                </c:pt>
                <c:pt idx="353">
                  <c:v>1386.652790140065</c:v>
                </c:pt>
                <c:pt idx="354">
                  <c:v>1382.1891060309893</c:v>
                </c:pt>
                <c:pt idx="355">
                  <c:v>1377.6431737678802</c:v>
                </c:pt>
                <c:pt idx="356">
                  <c:v>1373.0155371364376</c:v>
                </c:pt>
                <c:pt idx="357">
                  <c:v>1368.3067465689817</c:v>
                </c:pt>
                <c:pt idx="358">
                  <c:v>1363.5173589363935</c:v>
                </c:pt>
                <c:pt idx="359">
                  <c:v>1358.6479373387012</c:v>
                </c:pt>
                <c:pt idx="360">
                  <c:v>1353.6990508945419</c:v>
                </c:pt>
                <c:pt idx="361">
                  <c:v>1348.6712745297152</c:v>
                </c:pt>
                <c:pt idx="362">
                  <c:v>1343.5651887650415</c:v>
                </c:pt>
                <c:pt idx="363">
                  <c:v>1338.3813795037227</c:v>
                </c:pt>
                <c:pt idx="364">
                  <c:v>1333.1204378184036</c:v>
                </c:pt>
                <c:pt idx="365">
                  <c:v>1327.7829597381199</c:v>
                </c:pt>
                <c:pt idx="366">
                  <c:v>1322.3695460353131</c:v>
                </c:pt>
                <c:pt idx="367">
                  <c:v>1316.8808020130878</c:v>
                </c:pt>
                <c:pt idx="368">
                  <c:v>1311.3173372928791</c:v>
                </c:pt>
                <c:pt idx="369">
                  <c:v>1305.679765602692</c:v>
                </c:pt>
                <c:pt idx="370">
                  <c:v>1299.9687045660703</c:v>
                </c:pt>
                <c:pt idx="371">
                  <c:v>1294.1847754919459</c:v>
                </c:pt>
                <c:pt idx="372">
                  <c:v>1288.3286031655127</c:v>
                </c:pt>
                <c:pt idx="373">
                  <c:v>1282.4008156402683</c:v>
                </c:pt>
                <c:pt idx="374">
                  <c:v>1276.4020440313552</c:v>
                </c:pt>
                <c:pt idx="375">
                  <c:v>1270.3329223103353</c:v>
                </c:pt>
                <c:pt idx="376">
                  <c:v>1264.194087101519</c:v>
                </c:pt>
                <c:pt idx="377">
                  <c:v>1257.9861774799717</c:v>
                </c:pt>
                <c:pt idx="378">
                  <c:v>1251.7098347713118</c:v>
                </c:pt>
                <c:pt idx="379">
                  <c:v>1245.3657023534106</c:v>
                </c:pt>
                <c:pt idx="380">
                  <c:v>1238.9544254601005</c:v>
                </c:pt>
                <c:pt idx="381">
                  <c:v>1232.4766509869917</c:v>
                </c:pt>
                <c:pt idx="382">
                  <c:v>1225.933027299493</c:v>
                </c:pt>
                <c:pt idx="383">
                  <c:v>1219.3242040431317</c:v>
                </c:pt>
                <c:pt idx="384">
                  <c:v>1212.6508319562545</c:v>
                </c:pt>
                <c:pt idx="385">
                  <c:v>1205.9135626851976</c:v>
                </c:pt>
                <c:pt idx="386">
                  <c:v>1199.1130486020004</c:v>
                </c:pt>
                <c:pt idx="387">
                  <c:v>1192.2499426247384</c:v>
                </c:pt>
                <c:pt idx="388">
                  <c:v>1185.3248980405447</c:v>
                </c:pt>
                <c:pt idx="389">
                  <c:v>1178.3385683313841</c:v>
                </c:pt>
                <c:pt idx="390">
                  <c:v>1171.291607002644</c:v>
                </c:pt>
                <c:pt idx="391">
                  <c:v>1164.184667414595</c:v>
                </c:pt>
                <c:pt idx="392">
                  <c:v>1157.0184026167769</c:v>
                </c:pt>
                <c:pt idx="393">
                  <c:v>1149.7934651853589</c:v>
                </c:pt>
                <c:pt idx="394">
                  <c:v>1142.5105070635166</c:v>
                </c:pt>
                <c:pt idx="395">
                  <c:v>1135.1701794048695</c:v>
                </c:pt>
                <c:pt idx="396">
                  <c:v>1127.7731324200142</c:v>
                </c:pt>
                <c:pt idx="397">
                  <c:v>1120.3200152261882</c:v>
                </c:pt>
                <c:pt idx="398">
                  <c:v>1112.8114757000931</c:v>
                </c:pt>
                <c:pt idx="399">
                  <c:v>1105.2481603339036</c:v>
                </c:pt>
                <c:pt idx="400">
                  <c:v>1097.6307140944857</c:v>
                </c:pt>
                <c:pt idx="401">
                  <c:v>1089.959780285843</c:v>
                </c:pt>
                <c:pt idx="402">
                  <c:v>1082.2360004148056</c:v>
                </c:pt>
                <c:pt idx="403">
                  <c:v>1074.4600140599773</c:v>
                </c:pt>
                <c:pt idx="404">
                  <c:v>1066.6324587439476</c:v>
                </c:pt>
                <c:pt idx="405">
                  <c:v>1058.7539698087771</c:v>
                </c:pt>
                <c:pt idx="406">
                  <c:v>1050.8251802947589</c:v>
                </c:pt>
                <c:pt idx="407">
                  <c:v>1042.8467208224554</c:v>
                </c:pt>
                <c:pt idx="408">
                  <c:v>1034.8192194780113</c:v>
                </c:pt>
                <c:pt idx="409">
                  <c:v>1026.743301701734</c:v>
                </c:pt>
                <c:pt idx="410">
                  <c:v>1018.6195901799366</c:v>
                </c:pt>
                <c:pt idx="411">
                  <c:v>1010.448704740032</c:v>
                </c:pt>
                <c:pt idx="412">
                  <c:v>1002.231262248866</c:v>
                </c:pt>
                <c:pt idx="413">
                  <c:v>993.96787651427383</c:v>
                </c:pt>
                <c:pt idx="414">
                  <c:v>985.65915818984342</c:v>
                </c:pt>
                <c:pt idx="415">
                  <c:v>977.30571468286564</c:v>
                </c:pt>
                <c:pt idx="416">
                  <c:v>968.90815006544972</c:v>
                </c:pt>
                <c:pt idx="417">
                  <c:v>960.46706498878098</c:v>
                </c:pt>
                <c:pt idx="418">
                  <c:v>951.98305660049482</c:v>
                </c:pt>
                <c:pt idx="419">
                  <c:v>943.45671846513994</c:v>
                </c:pt>
                <c:pt idx="420">
                  <c:v>934.88864048770131</c:v>
                </c:pt>
                <c:pt idx="421">
                  <c:v>926.27940884015345</c:v>
                </c:pt>
                <c:pt idx="422">
                  <c:v>917.62960589100999</c:v>
                </c:pt>
                <c:pt idx="423">
                  <c:v>908.93981013783753</c:v>
                </c:pt>
                <c:pt idx="424">
                  <c:v>900.21059614269745</c:v>
                </c:pt>
                <c:pt idx="425">
                  <c:v>891.44253447048027</c:v>
                </c:pt>
                <c:pt idx="426">
                  <c:v>882.636191630094</c:v>
                </c:pt>
                <c:pt idx="427">
                  <c:v>873.79213001846813</c:v>
                </c:pt>
                <c:pt idx="428">
                  <c:v>864.910907867334</c:v>
                </c:pt>
                <c:pt idx="429">
                  <c:v>855.9930791927394</c:v>
                </c:pt>
                <c:pt idx="430">
                  <c:v>847.03919374725672</c:v>
                </c:pt>
                <c:pt idx="431">
                  <c:v>838.04979697484168</c:v>
                </c:pt>
                <c:pt idx="432">
                  <c:v>829.02542996829959</c:v>
                </c:pt>
                <c:pt idx="433">
                  <c:v>819.96662942931414</c:v>
                </c:pt>
                <c:pt idx="434">
                  <c:v>810.87392763099501</c:v>
                </c:pt>
                <c:pt idx="435">
                  <c:v>801.7478523828986</c:v>
                </c:pt>
                <c:pt idx="436">
                  <c:v>792.58892699847638</c:v>
                </c:pt>
                <c:pt idx="437">
                  <c:v>783.39767026490404</c:v>
                </c:pt>
                <c:pt idx="438">
                  <c:v>774.17459641524511</c:v>
                </c:pt>
                <c:pt idx="439">
                  <c:v>764.92021510290283</c:v>
                </c:pt>
                <c:pt idx="440">
                  <c:v>755.63503137831196</c:v>
                </c:pt>
                <c:pt idx="441">
                  <c:v>746.31954566782406</c:v>
                </c:pt>
                <c:pt idx="442">
                  <c:v>736.97425375473767</c:v>
                </c:pt>
                <c:pt idx="443">
                  <c:v>727.59964676242737</c:v>
                </c:pt>
                <c:pt idx="444">
                  <c:v>718.19621113952212</c:v>
                </c:pt>
                <c:pt idx="445">
                  <c:v>708.76442864708645</c:v>
                </c:pt>
                <c:pt idx="446">
                  <c:v>699.30477634775661</c:v>
                </c:pt>
                <c:pt idx="447">
                  <c:v>689.81772659678381</c:v>
                </c:pt>
                <c:pt idx="448">
                  <c:v>680.30374703493715</c:v>
                </c:pt>
                <c:pt idx="449">
                  <c:v>670.76330058321935</c:v>
                </c:pt>
                <c:pt idx="450">
                  <c:v>661.19684543934761</c:v>
                </c:pt>
                <c:pt idx="451">
                  <c:v>651.60483507595302</c:v>
                </c:pt>
                <c:pt idx="452">
                  <c:v>641.9877182404523</c:v>
                </c:pt>
                <c:pt idx="453">
                  <c:v>632.34593895654507</c:v>
                </c:pt>
                <c:pt idx="454">
                  <c:v>622.67993652729092</c:v>
                </c:pt>
                <c:pt idx="455">
                  <c:v>612.99014553972074</c:v>
                </c:pt>
                <c:pt idx="456">
                  <c:v>603.2769958709373</c:v>
                </c:pt>
                <c:pt idx="457">
                  <c:v>593.5409126956605</c:v>
                </c:pt>
                <c:pt idx="458">
                  <c:v>583.78231649517204</c:v>
                </c:pt>
                <c:pt idx="459">
                  <c:v>574.00162306761729</c:v>
                </c:pt>
                <c:pt idx="460">
                  <c:v>564.19924353961949</c:v>
                </c:pt>
                <c:pt idx="461">
                  <c:v>554.37558437916482</c:v>
                </c:pt>
                <c:pt idx="462">
                  <c:v>544.53104740971503</c:v>
                </c:pt>
                <c:pt idx="463">
                  <c:v>534.66602982550648</c:v>
                </c:pt>
                <c:pt idx="464">
                  <c:v>524.78092420799453</c:v>
                </c:pt>
                <c:pt idx="465">
                  <c:v>514.87611854340253</c:v>
                </c:pt>
                <c:pt idx="466">
                  <c:v>504.95199624133528</c:v>
                </c:pt>
                <c:pt idx="467">
                  <c:v>495.008936154418</c:v>
                </c:pt>
                <c:pt idx="468">
                  <c:v>485.04731259892208</c:v>
                </c:pt>
                <c:pt idx="469">
                  <c:v>475.06749537633897</c:v>
                </c:pt>
                <c:pt idx="470">
                  <c:v>465.06984979586571</c:v>
                </c:pt>
                <c:pt idx="471">
                  <c:v>455.05473669776433</c:v>
                </c:pt>
                <c:pt idx="472">
                  <c:v>445.02251247755959</c:v>
                </c:pt>
                <c:pt idx="473">
                  <c:v>434.97352911103945</c:v>
                </c:pt>
                <c:pt idx="474">
                  <c:v>424.9081341800233</c:v>
                </c:pt>
                <c:pt idx="475">
                  <c:v>414.82667089886405</c:v>
                </c:pt>
                <c:pt idx="476">
                  <c:v>404.72947814165047</c:v>
                </c:pt>
                <c:pt idx="477">
                  <c:v>394.6168904700769</c:v>
                </c:pt>
                <c:pt idx="478">
                  <c:v>384.48923816194844</c:v>
                </c:pt>
                <c:pt idx="479">
                  <c:v>374.34684724029006</c:v>
                </c:pt>
                <c:pt idx="480">
                  <c:v>364.19003950302886</c:v>
                </c:pt>
                <c:pt idx="481">
                  <c:v>354.01913255321926</c:v>
                </c:pt>
                <c:pt idx="482">
                  <c:v>343.83443982978218</c:v>
                </c:pt>
                <c:pt idx="483">
                  <c:v>333.63627063872889</c:v>
                </c:pt>
                <c:pt idx="484">
                  <c:v>323.42493018484203</c:v>
                </c:pt>
                <c:pt idx="485">
                  <c:v>313.20071960378584</c:v>
                </c:pt>
                <c:pt idx="486">
                  <c:v>302.96393599461936</c:v>
                </c:pt>
                <c:pt idx="487">
                  <c:v>292.71487245268634</c:v>
                </c:pt>
                <c:pt idx="488">
                  <c:v>282.45381810285625</c:v>
                </c:pt>
                <c:pt idx="489">
                  <c:v>272.18105813309217</c:v>
                </c:pt>
                <c:pt idx="490">
                  <c:v>261.89687382832085</c:v>
                </c:pt>
                <c:pt idx="491">
                  <c:v>251.60154260458182</c:v>
                </c:pt>
                <c:pt idx="492">
                  <c:v>241.29533804343254</c:v>
                </c:pt>
                <c:pt idx="493">
                  <c:v>230.9785299265875</c:v>
                </c:pt>
                <c:pt idx="494">
                  <c:v>220.65138427076971</c:v>
                </c:pt>
                <c:pt idx="495">
                  <c:v>210.31416336275325</c:v>
                </c:pt>
                <c:pt idx="496">
                  <c:v>199.96712579457699</c:v>
                </c:pt>
                <c:pt idx="497">
                  <c:v>189.61052649890928</c:v>
                </c:pt>
                <c:pt idx="498">
                  <c:v>179.24461678454475</c:v>
                </c:pt>
                <c:pt idx="499">
                  <c:v>168.86964437201419</c:v>
                </c:pt>
                <c:pt idx="500">
                  <c:v>158.48585342928996</c:v>
                </c:pt>
                <c:pt idx="501">
                  <c:v>148.09348460756894</c:v>
                </c:pt>
                <c:pt idx="502">
                  <c:v>137.69277507711647</c:v>
                </c:pt>
                <c:pt idx="503">
                  <c:v>127.28395856315478</c:v>
                </c:pt>
                <c:pt idx="504">
                  <c:v>116.86726538177996</c:v>
                </c:pt>
                <c:pt idx="505">
                  <c:v>106.44292247589216</c:v>
                </c:pt>
                <c:pt idx="506">
                  <c:v>96.011153451124414</c:v>
                </c:pt>
                <c:pt idx="507">
                  <c:v>85.572178611755476</c:v>
                </c:pt>
                <c:pt idx="508">
                  <c:v>75.126214996593134</c:v>
                </c:pt>
                <c:pt idx="509">
                  <c:v>64.673476414814573</c:v>
                </c:pt>
                <c:pt idx="510">
                  <c:v>54.214173481750855</c:v>
                </c:pt>
                <c:pt idx="511">
                  <c:v>43.748513654603386</c:v>
                </c:pt>
                <c:pt idx="512">
                  <c:v>33.276701268080238</c:v>
                </c:pt>
                <c:pt idx="513">
                  <c:v>22.798937569940996</c:v>
                </c:pt>
                <c:pt idx="514">
                  <c:v>12.315420756439096</c:v>
                </c:pt>
                <c:pt idx="515">
                  <c:v>1.8263460076510505</c:v>
                </c:pt>
                <c:pt idx="516">
                  <c:v>-8.6680944773175739</c:v>
                </c:pt>
                <c:pt idx="517">
                  <c:v>-8.6785915555325754</c:v>
                </c:pt>
                <c:pt idx="518">
                  <c:v>-8.6890886388300732</c:v>
                </c:pt>
                <c:pt idx="519">
                  <c:v>-8.6995857272098824</c:v>
                </c:pt>
                <c:pt idx="520">
                  <c:v>-8.7100828206718184</c:v>
                </c:pt>
                <c:pt idx="521">
                  <c:v>-8.7205799192156963</c:v>
                </c:pt>
                <c:pt idx="522">
                  <c:v>-8.7310770228413315</c:v>
                </c:pt>
                <c:pt idx="523">
                  <c:v>-8.7415741315485391</c:v>
                </c:pt>
                <c:pt idx="524">
                  <c:v>-8.7520712453371345</c:v>
                </c:pt>
                <c:pt idx="525">
                  <c:v>-8.7625683642069347</c:v>
                </c:pt>
                <c:pt idx="526">
                  <c:v>-8.7730654881577532</c:v>
                </c:pt>
                <c:pt idx="527">
                  <c:v>-8.7835626171894052</c:v>
                </c:pt>
                <c:pt idx="528">
                  <c:v>-8.794059751301706</c:v>
                </c:pt>
                <c:pt idx="529">
                  <c:v>-8.8045568904944727</c:v>
                </c:pt>
                <c:pt idx="530">
                  <c:v>-8.8150540347675186</c:v>
                </c:pt>
                <c:pt idx="531">
                  <c:v>-8.8255511841206609</c:v>
                </c:pt>
                <c:pt idx="532">
                  <c:v>-8.836048338553713</c:v>
                </c:pt>
                <c:pt idx="533">
                  <c:v>-8.8465454980664919</c:v>
                </c:pt>
                <c:pt idx="534">
                  <c:v>-8.8570426626588112</c:v>
                </c:pt>
                <c:pt idx="535">
                  <c:v>-8.8675398323304879</c:v>
                </c:pt>
                <c:pt idx="536">
                  <c:v>-8.8780370070813355</c:v>
                </c:pt>
                <c:pt idx="537">
                  <c:v>-8.8885341869111709</c:v>
                </c:pt>
                <c:pt idx="538">
                  <c:v>-8.8990313718198095</c:v>
                </c:pt>
                <c:pt idx="539">
                  <c:v>-8.9095285618070665</c:v>
                </c:pt>
                <c:pt idx="540">
                  <c:v>-8.9200257568727572</c:v>
                </c:pt>
                <c:pt idx="541">
                  <c:v>-8.9305229570166969</c:v>
                </c:pt>
                <c:pt idx="542">
                  <c:v>-8.9410201622387007</c:v>
                </c:pt>
                <c:pt idx="543">
                  <c:v>-8.9515173725385839</c:v>
                </c:pt>
                <c:pt idx="544">
                  <c:v>-8.9620145879161619</c:v>
                </c:pt>
                <c:pt idx="545">
                  <c:v>-8.9725118083712498</c:v>
                </c:pt>
                <c:pt idx="546">
                  <c:v>-8.9830090339036648</c:v>
                </c:pt>
                <c:pt idx="547">
                  <c:v>-8.9935062645132202</c:v>
                </c:pt>
                <c:pt idx="548">
                  <c:v>-9.0040035001997314</c:v>
                </c:pt>
                <c:pt idx="549">
                  <c:v>-9.0145007409630153</c:v>
                </c:pt>
                <c:pt idx="550">
                  <c:v>-9.0249979868028873</c:v>
                </c:pt>
                <c:pt idx="551">
                  <c:v>-9.0354952377191609</c:v>
                </c:pt>
                <c:pt idx="552">
                  <c:v>-9.0459924937116529</c:v>
                </c:pt>
                <c:pt idx="553">
                  <c:v>-9.0564897547801788</c:v>
                </c:pt>
                <c:pt idx="554">
                  <c:v>-9.0669870209245538</c:v>
                </c:pt>
                <c:pt idx="555">
                  <c:v>-9.0774842921445931</c:v>
                </c:pt>
                <c:pt idx="556">
                  <c:v>-9.087981568440112</c:v>
                </c:pt>
                <c:pt idx="557">
                  <c:v>-9.0984788498109257</c:v>
                </c:pt>
                <c:pt idx="558">
                  <c:v>-9.1089761362568495</c:v>
                </c:pt>
                <c:pt idx="559">
                  <c:v>-9.1194734277777005</c:v>
                </c:pt>
                <c:pt idx="560">
                  <c:v>-9.1299707243732922</c:v>
                </c:pt>
                <c:pt idx="561">
                  <c:v>-9.1404680260434414</c:v>
                </c:pt>
                <c:pt idx="562">
                  <c:v>-9.1509653327879619</c:v>
                </c:pt>
                <c:pt idx="563">
                  <c:v>-9.1614626446066705</c:v>
                </c:pt>
                <c:pt idx="564">
                  <c:v>-9.1719599614993825</c:v>
                </c:pt>
                <c:pt idx="565">
                  <c:v>-9.1824572834659133</c:v>
                </c:pt>
                <c:pt idx="566">
                  <c:v>-9.192954610506078</c:v>
                </c:pt>
                <c:pt idx="567">
                  <c:v>-9.2034519426196919</c:v>
                </c:pt>
                <c:pt idx="568">
                  <c:v>-9.2139492798065703</c:v>
                </c:pt>
                <c:pt idx="569">
                  <c:v>-9.2244466220665302</c:v>
                </c:pt>
                <c:pt idx="570">
                  <c:v>-9.2349439693993851</c:v>
                </c:pt>
                <c:pt idx="571">
                  <c:v>-9.245441321804952</c:v>
                </c:pt>
                <c:pt idx="572">
                  <c:v>-9.2559386792830463</c:v>
                </c:pt>
                <c:pt idx="573">
                  <c:v>-9.2664360418334812</c:v>
                </c:pt>
                <c:pt idx="574">
                  <c:v>-9.276933409456074</c:v>
                </c:pt>
                <c:pt idx="575">
                  <c:v>-9.2874307821506399</c:v>
                </c:pt>
                <c:pt idx="576">
                  <c:v>-9.2979281599169941</c:v>
                </c:pt>
                <c:pt idx="577">
                  <c:v>-9.3084255427549536</c:v>
                </c:pt>
                <c:pt idx="578">
                  <c:v>-9.318922930664332</c:v>
                </c:pt>
                <c:pt idx="579">
                  <c:v>-9.3294203236449462</c:v>
                </c:pt>
                <c:pt idx="580">
                  <c:v>-9.3399177216966098</c:v>
                </c:pt>
                <c:pt idx="581">
                  <c:v>-9.3504151248191398</c:v>
                </c:pt>
                <c:pt idx="582">
                  <c:v>-9.3609125330123515</c:v>
                </c:pt>
                <c:pt idx="583">
                  <c:v>-9.3714099462760601</c:v>
                </c:pt>
                <c:pt idx="584">
                  <c:v>-9.3819073646100808</c:v>
                </c:pt>
                <c:pt idx="585">
                  <c:v>-9.392404788014229</c:v>
                </c:pt>
                <c:pt idx="586">
                  <c:v>-9.4029022164883216</c:v>
                </c:pt>
                <c:pt idx="587">
                  <c:v>-9.4133996500321722</c:v>
                </c:pt>
                <c:pt idx="588">
                  <c:v>-9.4238970886455977</c:v>
                </c:pt>
                <c:pt idx="589">
                  <c:v>-9.4343945323284135</c:v>
                </c:pt>
                <c:pt idx="590">
                  <c:v>-9.4448919810804348</c:v>
                </c:pt>
                <c:pt idx="591">
                  <c:v>-9.4553894349014769</c:v>
                </c:pt>
                <c:pt idx="592">
                  <c:v>-9.465886893791355</c:v>
                </c:pt>
                <c:pt idx="593">
                  <c:v>-9.4763843577498861</c:v>
                </c:pt>
                <c:pt idx="594">
                  <c:v>-9.4868818267768837</c:v>
                </c:pt>
                <c:pt idx="595">
                  <c:v>-9.497379300872165</c:v>
                </c:pt>
                <c:pt idx="596">
                  <c:v>-9.507876780035545</c:v>
                </c:pt>
                <c:pt idx="597">
                  <c:v>-9.5183742642668392</c:v>
                </c:pt>
                <c:pt idx="598">
                  <c:v>-9.5288717535658627</c:v>
                </c:pt>
                <c:pt idx="599">
                  <c:v>-9.5393692479324308</c:v>
                </c:pt>
                <c:pt idx="600">
                  <c:v>-9.5498667473663605</c:v>
                </c:pt>
                <c:pt idx="601">
                  <c:v>-9.5603642518674672</c:v>
                </c:pt>
                <c:pt idx="602">
                  <c:v>-9.5708617614355642</c:v>
                </c:pt>
                <c:pt idx="603">
                  <c:v>-9.5813592760704687</c:v>
                </c:pt>
                <c:pt idx="604">
                  <c:v>-9.5918567957719958</c:v>
                </c:pt>
                <c:pt idx="605">
                  <c:v>-9.6023543205399626</c:v>
                </c:pt>
                <c:pt idx="606">
                  <c:v>-9.6128518503741827</c:v>
                </c:pt>
                <c:pt idx="607">
                  <c:v>-9.6233493852744729</c:v>
                </c:pt>
                <c:pt idx="608">
                  <c:v>-9.6338469252406487</c:v>
                </c:pt>
                <c:pt idx="609">
                  <c:v>-9.6443444702725234</c:v>
                </c:pt>
                <c:pt idx="610">
                  <c:v>-9.6548420203699159</c:v>
                </c:pt>
                <c:pt idx="611">
                  <c:v>-9.6653395755326397</c:v>
                </c:pt>
                <c:pt idx="612">
                  <c:v>-9.67583713576051</c:v>
                </c:pt>
                <c:pt idx="613">
                  <c:v>-9.6863347010533438</c:v>
                </c:pt>
                <c:pt idx="614">
                  <c:v>-9.6968322714109565</c:v>
                </c:pt>
                <c:pt idx="615">
                  <c:v>-9.7073298468331632</c:v>
                </c:pt>
                <c:pt idx="616">
                  <c:v>-9.7178274273197793</c:v>
                </c:pt>
                <c:pt idx="617">
                  <c:v>-9.72832501287062</c:v>
                </c:pt>
                <c:pt idx="618">
                  <c:v>-9.7388226034855023</c:v>
                </c:pt>
                <c:pt idx="619">
                  <c:v>-9.7493201991642415</c:v>
                </c:pt>
                <c:pt idx="620">
                  <c:v>-9.7598177999066529</c:v>
                </c:pt>
                <c:pt idx="621">
                  <c:v>-9.7703154057125516</c:v>
                </c:pt>
                <c:pt idx="622">
                  <c:v>-9.7808130165817531</c:v>
                </c:pt>
                <c:pt idx="623">
                  <c:v>-9.7913106325140742</c:v>
                </c:pt>
                <c:pt idx="624">
                  <c:v>-9.8018082535093285</c:v>
                </c:pt>
                <c:pt idx="625">
                  <c:v>-9.812305879567333</c:v>
                </c:pt>
                <c:pt idx="626">
                  <c:v>-9.822803510687903</c:v>
                </c:pt>
                <c:pt idx="627">
                  <c:v>-9.8333011468708555</c:v>
                </c:pt>
                <c:pt idx="628">
                  <c:v>-9.8437987881160041</c:v>
                </c:pt>
                <c:pt idx="629">
                  <c:v>-9.8542964344231656</c:v>
                </c:pt>
                <c:pt idx="630">
                  <c:v>-9.8647940857921554</c:v>
                </c:pt>
                <c:pt idx="631">
                  <c:v>-9.8752917422227888</c:v>
                </c:pt>
                <c:pt idx="632">
                  <c:v>-9.885789403714881</c:v>
                </c:pt>
                <c:pt idx="633">
                  <c:v>-9.8962870702682491</c:v>
                </c:pt>
                <c:pt idx="634">
                  <c:v>-9.9067847418827082</c:v>
                </c:pt>
                <c:pt idx="635">
                  <c:v>-9.9172824185580737</c:v>
                </c:pt>
                <c:pt idx="636">
                  <c:v>-9.9277801002941608</c:v>
                </c:pt>
                <c:pt idx="637">
                  <c:v>-9.9382777870907848</c:v>
                </c:pt>
                <c:pt idx="638">
                  <c:v>-9.9487754789477627</c:v>
                </c:pt>
                <c:pt idx="639">
                  <c:v>-9.9592731758649098</c:v>
                </c:pt>
                <c:pt idx="640">
                  <c:v>-9.9697708778420413</c:v>
                </c:pt>
                <c:pt idx="641">
                  <c:v>-9.9802685848789725</c:v>
                </c:pt>
                <c:pt idx="642">
                  <c:v>-9.9907662969755187</c:v>
                </c:pt>
                <c:pt idx="643">
                  <c:v>-10.001264014131497</c:v>
                </c:pt>
                <c:pt idx="644">
                  <c:v>-10.011761736346722</c:v>
                </c:pt>
                <c:pt idx="645">
                  <c:v>-10.02225946362101</c:v>
                </c:pt>
                <c:pt idx="646">
                  <c:v>-10.032757195954177</c:v>
                </c:pt>
                <c:pt idx="647">
                  <c:v>-10.043254933346038</c:v>
                </c:pt>
                <c:pt idx="648">
                  <c:v>-10.053752675796408</c:v>
                </c:pt>
                <c:pt idx="649">
                  <c:v>-10.064250423305104</c:v>
                </c:pt>
                <c:pt idx="650">
                  <c:v>-10.074748175871942</c:v>
                </c:pt>
                <c:pt idx="651">
                  <c:v>-10.085245933496736</c:v>
                </c:pt>
                <c:pt idx="652">
                  <c:v>-10.095743696179303</c:v>
                </c:pt>
                <c:pt idx="653">
                  <c:v>-10.106241463919458</c:v>
                </c:pt>
                <c:pt idx="654">
                  <c:v>-10.116739236717017</c:v>
                </c:pt>
                <c:pt idx="655">
                  <c:v>-10.127237014571795</c:v>
                </c:pt>
                <c:pt idx="656">
                  <c:v>-10.13773479748361</c:v>
                </c:pt>
                <c:pt idx="657">
                  <c:v>-10.148232585452275</c:v>
                </c:pt>
                <c:pt idx="658">
                  <c:v>-10.158730378477607</c:v>
                </c:pt>
                <c:pt idx="659">
                  <c:v>-10.169228176559422</c:v>
                </c:pt>
                <c:pt idx="660">
                  <c:v>-10.179725979697533</c:v>
                </c:pt>
                <c:pt idx="661">
                  <c:v>-10.190223787891759</c:v>
                </c:pt>
                <c:pt idx="662">
                  <c:v>-10.200721601141915</c:v>
                </c:pt>
                <c:pt idx="663">
                  <c:v>-10.211219419447815</c:v>
                </c:pt>
                <c:pt idx="664">
                  <c:v>-10.221717242809277</c:v>
                </c:pt>
                <c:pt idx="665">
                  <c:v>-10.232215071226115</c:v>
                </c:pt>
                <c:pt idx="666">
                  <c:v>-10.242712904698147</c:v>
                </c:pt>
                <c:pt idx="667">
                  <c:v>-10.253210743225186</c:v>
                </c:pt>
                <c:pt idx="668">
                  <c:v>-10.263708586807049</c:v>
                </c:pt>
                <c:pt idx="669">
                  <c:v>-10.274206435443551</c:v>
                </c:pt>
                <c:pt idx="670">
                  <c:v>-10.28470428913451</c:v>
                </c:pt>
                <c:pt idx="671">
                  <c:v>-10.295202147879738</c:v>
                </c:pt>
                <c:pt idx="672">
                  <c:v>-10.305700011679054</c:v>
                </c:pt>
                <c:pt idx="673">
                  <c:v>-10.316197880532272</c:v>
                </c:pt>
                <c:pt idx="674">
                  <c:v>-10.326695754439209</c:v>
                </c:pt>
                <c:pt idx="675">
                  <c:v>-10.33719363339968</c:v>
                </c:pt>
                <c:pt idx="676">
                  <c:v>-10.347691517413502</c:v>
                </c:pt>
                <c:pt idx="677">
                  <c:v>-10.358189406480488</c:v>
                </c:pt>
                <c:pt idx="678">
                  <c:v>-10.368687300600456</c:v>
                </c:pt>
                <c:pt idx="679">
                  <c:v>-10.379185199773222</c:v>
                </c:pt>
                <c:pt idx="680">
                  <c:v>-10.3896831039986</c:v>
                </c:pt>
                <c:pt idx="681">
                  <c:v>-10.400181013276406</c:v>
                </c:pt>
                <c:pt idx="682">
                  <c:v>-10.410678927606456</c:v>
                </c:pt>
                <c:pt idx="683">
                  <c:v>-10.421176846988567</c:v>
                </c:pt>
                <c:pt idx="684">
                  <c:v>-10.431674771422554</c:v>
                </c:pt>
                <c:pt idx="685">
                  <c:v>-10.442172700908232</c:v>
                </c:pt>
                <c:pt idx="686">
                  <c:v>-10.452670635445418</c:v>
                </c:pt>
                <c:pt idx="687">
                  <c:v>-10.463168575033928</c:v>
                </c:pt>
                <c:pt idx="688">
                  <c:v>-10.473666519673577</c:v>
                </c:pt>
                <c:pt idx="689">
                  <c:v>-10.484164469364179</c:v>
                </c:pt>
                <c:pt idx="690">
                  <c:v>-10.494662424105554</c:v>
                </c:pt>
                <c:pt idx="691">
                  <c:v>-10.505160383897515</c:v>
                </c:pt>
                <c:pt idx="692">
                  <c:v>-10.515658348739878</c:v>
                </c:pt>
                <c:pt idx="693">
                  <c:v>-10.526156318632459</c:v>
                </c:pt>
                <c:pt idx="694">
                  <c:v>-10.536654293575074</c:v>
                </c:pt>
                <c:pt idx="695">
                  <c:v>-10.547152273567539</c:v>
                </c:pt>
                <c:pt idx="696">
                  <c:v>-10.557650258609669</c:v>
                </c:pt>
                <c:pt idx="697">
                  <c:v>-10.568148248701281</c:v>
                </c:pt>
                <c:pt idx="698">
                  <c:v>-10.578646243842188</c:v>
                </c:pt>
                <c:pt idx="699">
                  <c:v>-10.589144244032209</c:v>
                </c:pt>
                <c:pt idx="700">
                  <c:v>-10.599642249271159</c:v>
                </c:pt>
                <c:pt idx="701">
                  <c:v>-10.610140259558854</c:v>
                </c:pt>
                <c:pt idx="702">
                  <c:v>-10.620638274895109</c:v>
                </c:pt>
                <c:pt idx="703">
                  <c:v>-10.63113629527974</c:v>
                </c:pt>
                <c:pt idx="704">
                  <c:v>-10.641634320712564</c:v>
                </c:pt>
                <c:pt idx="705">
                  <c:v>-10.652132351193394</c:v>
                </c:pt>
                <c:pt idx="706">
                  <c:v>-10.66263038672205</c:v>
                </c:pt>
                <c:pt idx="707">
                  <c:v>-10.673128427298344</c:v>
                </c:pt>
                <c:pt idx="708">
                  <c:v>-10.683626472922095</c:v>
                </c:pt>
                <c:pt idx="709">
                  <c:v>-10.694124523593116</c:v>
                </c:pt>
                <c:pt idx="710">
                  <c:v>-10.704622579311224</c:v>
                </c:pt>
                <c:pt idx="711">
                  <c:v>-10.715120640076234</c:v>
                </c:pt>
                <c:pt idx="712">
                  <c:v>-10.725618705887964</c:v>
                </c:pt>
                <c:pt idx="713">
                  <c:v>-10.736116776746229</c:v>
                </c:pt>
                <c:pt idx="714">
                  <c:v>-10.746614852650845</c:v>
                </c:pt>
                <c:pt idx="715">
                  <c:v>-10.757112933601627</c:v>
                </c:pt>
                <c:pt idx="716">
                  <c:v>-10.767611019598391</c:v>
                </c:pt>
                <c:pt idx="717">
                  <c:v>-10.778109110640953</c:v>
                </c:pt>
                <c:pt idx="718">
                  <c:v>-10.788607206729129</c:v>
                </c:pt>
                <c:pt idx="719">
                  <c:v>-10.799105307862735</c:v>
                </c:pt>
                <c:pt idx="720">
                  <c:v>-10.809603414041588</c:v>
                </c:pt>
                <c:pt idx="721">
                  <c:v>-10.820101525265502</c:v>
                </c:pt>
                <c:pt idx="722">
                  <c:v>-10.830599641534292</c:v>
                </c:pt>
                <c:pt idx="723">
                  <c:v>-10.841097762847776</c:v>
                </c:pt>
                <c:pt idx="724">
                  <c:v>-10.85159588920577</c:v>
                </c:pt>
                <c:pt idx="725">
                  <c:v>-10.862094020608088</c:v>
                </c:pt>
                <c:pt idx="726">
                  <c:v>-10.872592157054548</c:v>
                </c:pt>
                <c:pt idx="727">
                  <c:v>-10.883090298544966</c:v>
                </c:pt>
                <c:pt idx="728">
                  <c:v>-10.893588445079155</c:v>
                </c:pt>
                <c:pt idx="729">
                  <c:v>-10.904086596656933</c:v>
                </c:pt>
                <c:pt idx="730">
                  <c:v>-10.914584753278117</c:v>
                </c:pt>
                <c:pt idx="731">
                  <c:v>-10.925082914942521</c:v>
                </c:pt>
                <c:pt idx="732">
                  <c:v>-10.935581081649962</c:v>
                </c:pt>
                <c:pt idx="733">
                  <c:v>-10.946079253400255</c:v>
                </c:pt>
                <c:pt idx="734">
                  <c:v>-10.956577430193216</c:v>
                </c:pt>
                <c:pt idx="735">
                  <c:v>-10.967075612028662</c:v>
                </c:pt>
                <c:pt idx="736">
                  <c:v>-10.977573798906407</c:v>
                </c:pt>
                <c:pt idx="737">
                  <c:v>-10.988071990826269</c:v>
                </c:pt>
                <c:pt idx="738">
                  <c:v>-10.998570187788063</c:v>
                </c:pt>
                <c:pt idx="739">
                  <c:v>-11.009068389791604</c:v>
                </c:pt>
                <c:pt idx="740">
                  <c:v>-11.019566596836711</c:v>
                </c:pt>
                <c:pt idx="741">
                  <c:v>-11.030064808923196</c:v>
                </c:pt>
                <c:pt idx="742">
                  <c:v>-11.040563026050878</c:v>
                </c:pt>
                <c:pt idx="743">
                  <c:v>-11.05106124821957</c:v>
                </c:pt>
                <c:pt idx="744">
                  <c:v>-11.061559475429091</c:v>
                </c:pt>
                <c:pt idx="745">
                  <c:v>-11.072057707679255</c:v>
                </c:pt>
                <c:pt idx="746">
                  <c:v>-11.082555944969879</c:v>
                </c:pt>
                <c:pt idx="747">
                  <c:v>-11.09305418730078</c:v>
                </c:pt>
                <c:pt idx="748">
                  <c:v>-11.103552434671771</c:v>
                </c:pt>
                <c:pt idx="749">
                  <c:v>-11.114050687082671</c:v>
                </c:pt>
                <c:pt idx="750">
                  <c:v>-11.124548944533293</c:v>
                </c:pt>
                <c:pt idx="751">
                  <c:v>-11.135047207023455</c:v>
                </c:pt>
                <c:pt idx="752">
                  <c:v>-11.145545474552971</c:v>
                </c:pt>
                <c:pt idx="753">
                  <c:v>-11.156043747121659</c:v>
                </c:pt>
                <c:pt idx="754">
                  <c:v>-11.166542024729335</c:v>
                </c:pt>
                <c:pt idx="755">
                  <c:v>-11.177040307375814</c:v>
                </c:pt>
                <c:pt idx="756">
                  <c:v>-11.187538595060911</c:v>
                </c:pt>
                <c:pt idx="757">
                  <c:v>-11.198036887784443</c:v>
                </c:pt>
                <c:pt idx="758">
                  <c:v>-11.208535185546229</c:v>
                </c:pt>
                <c:pt idx="759">
                  <c:v>-11.21903348834608</c:v>
                </c:pt>
                <c:pt idx="760">
                  <c:v>-11.229531796183814</c:v>
                </c:pt>
                <c:pt idx="761">
                  <c:v>-11.240030109059248</c:v>
                </c:pt>
                <c:pt idx="762">
                  <c:v>-11.250528426972197</c:v>
                </c:pt>
                <c:pt idx="763">
                  <c:v>-11.261026749922477</c:v>
                </c:pt>
                <c:pt idx="764">
                  <c:v>-11.271525077909905</c:v>
                </c:pt>
                <c:pt idx="765">
                  <c:v>-11.282023410934295</c:v>
                </c:pt>
                <c:pt idx="766">
                  <c:v>-11.292521748995465</c:v>
                </c:pt>
                <c:pt idx="767">
                  <c:v>-11.303020092093231</c:v>
                </c:pt>
                <c:pt idx="768">
                  <c:v>-11.313518440227407</c:v>
                </c:pt>
                <c:pt idx="769">
                  <c:v>-11.32401679339781</c:v>
                </c:pt>
                <c:pt idx="770">
                  <c:v>-11.334515151604258</c:v>
                </c:pt>
                <c:pt idx="771">
                  <c:v>-11.345013514846563</c:v>
                </c:pt>
                <c:pt idx="772">
                  <c:v>-11.355511883124546</c:v>
                </c:pt>
                <c:pt idx="773">
                  <c:v>-11.366010256438019</c:v>
                </c:pt>
                <c:pt idx="774">
                  <c:v>-11.376508634786799</c:v>
                </c:pt>
                <c:pt idx="775">
                  <c:v>-11.387007018170703</c:v>
                </c:pt>
                <c:pt idx="776">
                  <c:v>-11.397505406589547</c:v>
                </c:pt>
                <c:pt idx="777">
                  <c:v>-11.408003800043145</c:v>
                </c:pt>
                <c:pt idx="778">
                  <c:v>-11.418502198531316</c:v>
                </c:pt>
                <c:pt idx="779">
                  <c:v>-11.429000602053874</c:v>
                </c:pt>
                <c:pt idx="780">
                  <c:v>-11.439499010610636</c:v>
                </c:pt>
                <c:pt idx="781">
                  <c:v>-11.449997424201417</c:v>
                </c:pt>
                <c:pt idx="782">
                  <c:v>-11.460495842826035</c:v>
                </c:pt>
                <c:pt idx="783">
                  <c:v>-11.470994266484304</c:v>
                </c:pt>
                <c:pt idx="784">
                  <c:v>-11.481492695176041</c:v>
                </c:pt>
                <c:pt idx="785">
                  <c:v>-11.491991128901061</c:v>
                </c:pt>
                <c:pt idx="786">
                  <c:v>-11.502489567659181</c:v>
                </c:pt>
                <c:pt idx="787">
                  <c:v>-11.512988011450217</c:v>
                </c:pt>
                <c:pt idx="788">
                  <c:v>-11.523486460273986</c:v>
                </c:pt>
                <c:pt idx="789">
                  <c:v>-11.533984914130302</c:v>
                </c:pt>
                <c:pt idx="790">
                  <c:v>-11.544483373018984</c:v>
                </c:pt>
                <c:pt idx="791">
                  <c:v>-11.554981836939845</c:v>
                </c:pt>
                <c:pt idx="792">
                  <c:v>-11.565480305892702</c:v>
                </c:pt>
                <c:pt idx="793">
                  <c:v>-11.575978779877373</c:v>
                </c:pt>
                <c:pt idx="794">
                  <c:v>-11.586477258893671</c:v>
                </c:pt>
                <c:pt idx="795">
                  <c:v>-11.596975742941416</c:v>
                </c:pt>
                <c:pt idx="796">
                  <c:v>-11.607474232020421</c:v>
                </c:pt>
                <c:pt idx="797">
                  <c:v>-11.617972726130501</c:v>
                </c:pt>
                <c:pt idx="798">
                  <c:v>-11.628471225271475</c:v>
                </c:pt>
                <c:pt idx="799">
                  <c:v>-11.63896972944316</c:v>
                </c:pt>
                <c:pt idx="800">
                  <c:v>-11.649468238645369</c:v>
                </c:pt>
                <c:pt idx="801">
                  <c:v>-11.659966752877919</c:v>
                </c:pt>
                <c:pt idx="802">
                  <c:v>-11.670465272140627</c:v>
                </c:pt>
                <c:pt idx="803">
                  <c:v>-11.680963796433307</c:v>
                </c:pt>
                <c:pt idx="804">
                  <c:v>-11.691462325755777</c:v>
                </c:pt>
                <c:pt idx="805">
                  <c:v>-11.701960860107853</c:v>
                </c:pt>
                <c:pt idx="806">
                  <c:v>-11.712459399489351</c:v>
                </c:pt>
                <c:pt idx="807">
                  <c:v>-11.722957943900086</c:v>
                </c:pt>
                <c:pt idx="808">
                  <c:v>-11.733456493339876</c:v>
                </c:pt>
                <c:pt idx="809">
                  <c:v>-11.743955047808537</c:v>
                </c:pt>
                <c:pt idx="810">
                  <c:v>-11.754453607305884</c:v>
                </c:pt>
                <c:pt idx="811">
                  <c:v>-11.764952171831734</c:v>
                </c:pt>
                <c:pt idx="812">
                  <c:v>-11.775450741385901</c:v>
                </c:pt>
                <c:pt idx="813">
                  <c:v>-11.785949315968205</c:v>
                </c:pt>
                <c:pt idx="814">
                  <c:v>-11.796447895578458</c:v>
                </c:pt>
                <c:pt idx="815">
                  <c:v>-11.80694648021648</c:v>
                </c:pt>
                <c:pt idx="816">
                  <c:v>-11.817445069882083</c:v>
                </c:pt>
                <c:pt idx="817">
                  <c:v>-11.827943664575088</c:v>
                </c:pt>
                <c:pt idx="818">
                  <c:v>-11.838442264295306</c:v>
                </c:pt>
                <c:pt idx="819">
                  <c:v>-11.848940869042558</c:v>
                </c:pt>
                <c:pt idx="820">
                  <c:v>-11.859439478816656</c:v>
                </c:pt>
                <c:pt idx="821">
                  <c:v>-11.869938093617419</c:v>
                </c:pt>
                <c:pt idx="822">
                  <c:v>-11.880436713444661</c:v>
                </c:pt>
                <c:pt idx="823">
                  <c:v>-11.890935338298201</c:v>
                </c:pt>
                <c:pt idx="824">
                  <c:v>-11.901433968177853</c:v>
                </c:pt>
                <c:pt idx="825">
                  <c:v>-11.911932603083434</c:v>
                </c:pt>
                <c:pt idx="826">
                  <c:v>-11.92243124301476</c:v>
                </c:pt>
                <c:pt idx="827">
                  <c:v>-11.932929887971646</c:v>
                </c:pt>
                <c:pt idx="828">
                  <c:v>-11.94342853795391</c:v>
                </c:pt>
                <c:pt idx="829">
                  <c:v>-11.953927192961368</c:v>
                </c:pt>
                <c:pt idx="830">
                  <c:v>-11.964425852993834</c:v>
                </c:pt>
                <c:pt idx="831">
                  <c:v>-11.974924518051127</c:v>
                </c:pt>
                <c:pt idx="832">
                  <c:v>-11.985423188133062</c:v>
                </c:pt>
                <c:pt idx="833">
                  <c:v>-11.995921863239454</c:v>
                </c:pt>
                <c:pt idx="834">
                  <c:v>-12.006420543370123</c:v>
                </c:pt>
                <c:pt idx="835">
                  <c:v>-12.01691922852488</c:v>
                </c:pt>
                <c:pt idx="836">
                  <c:v>-12.027417918703545</c:v>
                </c:pt>
                <c:pt idx="837">
                  <c:v>-12.037916613905933</c:v>
                </c:pt>
                <c:pt idx="838">
                  <c:v>-12.04841531413186</c:v>
                </c:pt>
                <c:pt idx="839">
                  <c:v>-12.058914019381143</c:v>
                </c:pt>
                <c:pt idx="840">
                  <c:v>-12.069412729653598</c:v>
                </c:pt>
                <c:pt idx="841">
                  <c:v>-12.07991144494904</c:v>
                </c:pt>
                <c:pt idx="842">
                  <c:v>-12.090410165267286</c:v>
                </c:pt>
                <c:pt idx="843">
                  <c:v>-12.100908890608153</c:v>
                </c:pt>
                <c:pt idx="844">
                  <c:v>-12.111407620971457</c:v>
                </c:pt>
                <c:pt idx="845">
                  <c:v>-12.121906356357014</c:v>
                </c:pt>
                <c:pt idx="846">
                  <c:v>-12.132405096764639</c:v>
                </c:pt>
                <c:pt idx="847">
                  <c:v>-12.14290384219415</c:v>
                </c:pt>
                <c:pt idx="848">
                  <c:v>-12.153402592645362</c:v>
                </c:pt>
                <c:pt idx="849">
                  <c:v>-12.163901348118092</c:v>
                </c:pt>
                <c:pt idx="850">
                  <c:v>-12.174400108612156</c:v>
                </c:pt>
                <c:pt idx="851">
                  <c:v>-12.18489887412737</c:v>
                </c:pt>
                <c:pt idx="852">
                  <c:v>-12.195397644663551</c:v>
                </c:pt>
                <c:pt idx="853">
                  <c:v>-12.205896420220515</c:v>
                </c:pt>
                <c:pt idx="854">
                  <c:v>-12.216395200798079</c:v>
                </c:pt>
                <c:pt idx="855">
                  <c:v>-12.226893986396057</c:v>
                </c:pt>
                <c:pt idx="856">
                  <c:v>-12.237392777014266</c:v>
                </c:pt>
                <c:pt idx="857">
                  <c:v>-12.247891572652524</c:v>
                </c:pt>
                <c:pt idx="858">
                  <c:v>-12.258390373310645</c:v>
                </c:pt>
                <c:pt idx="859">
                  <c:v>-12.268889178988447</c:v>
                </c:pt>
                <c:pt idx="860">
                  <c:v>-12.279387989685745</c:v>
                </c:pt>
                <c:pt idx="861">
                  <c:v>-12.289886805402356</c:v>
                </c:pt>
                <c:pt idx="862">
                  <c:v>-12.300385626138096</c:v>
                </c:pt>
                <c:pt idx="863">
                  <c:v>-12.310884451892782</c:v>
                </c:pt>
                <c:pt idx="864">
                  <c:v>-12.321383282666231</c:v>
                </c:pt>
                <c:pt idx="865">
                  <c:v>-12.331882118458257</c:v>
                </c:pt>
                <c:pt idx="866">
                  <c:v>-12.342380959268677</c:v>
                </c:pt>
                <c:pt idx="867">
                  <c:v>-12.352879805097308</c:v>
                </c:pt>
                <c:pt idx="868">
                  <c:v>-12.363378655943965</c:v>
                </c:pt>
                <c:pt idx="869">
                  <c:v>-12.373877511808466</c:v>
                </c:pt>
                <c:pt idx="870">
                  <c:v>-12.384376372690626</c:v>
                </c:pt>
                <c:pt idx="871">
                  <c:v>-12.394875238590263</c:v>
                </c:pt>
                <c:pt idx="872">
                  <c:v>-12.405374109507193</c:v>
                </c:pt>
                <c:pt idx="873">
                  <c:v>-12.415872985441231</c:v>
                </c:pt>
                <c:pt idx="874">
                  <c:v>-12.426371866392193</c:v>
                </c:pt>
                <c:pt idx="875">
                  <c:v>-12.436870752359896</c:v>
                </c:pt>
                <c:pt idx="876">
                  <c:v>-12.447369643344157</c:v>
                </c:pt>
                <c:pt idx="877">
                  <c:v>-12.457868539344791</c:v>
                </c:pt>
                <c:pt idx="878">
                  <c:v>-12.468367440361614</c:v>
                </c:pt>
                <c:pt idx="879">
                  <c:v>-12.478866346394446</c:v>
                </c:pt>
                <c:pt idx="880">
                  <c:v>-12.489365257443099</c:v>
                </c:pt>
                <c:pt idx="881">
                  <c:v>-12.499864173507392</c:v>
                </c:pt>
                <c:pt idx="882">
                  <c:v>-12.51036309458714</c:v>
                </c:pt>
                <c:pt idx="883">
                  <c:v>-12.520862020682159</c:v>
                </c:pt>
                <c:pt idx="884">
                  <c:v>-12.531360951792267</c:v>
                </c:pt>
                <c:pt idx="885">
                  <c:v>-12.54185988791728</c:v>
                </c:pt>
                <c:pt idx="886">
                  <c:v>-12.552358829057013</c:v>
                </c:pt>
                <c:pt idx="887">
                  <c:v>-12.562857775211285</c:v>
                </c:pt>
                <c:pt idx="888">
                  <c:v>-12.57335672637991</c:v>
                </c:pt>
                <c:pt idx="889">
                  <c:v>-12.583855682562703</c:v>
                </c:pt>
                <c:pt idx="890">
                  <c:v>-12.594354643759484</c:v>
                </c:pt>
                <c:pt idx="891">
                  <c:v>-12.604853609970068</c:v>
                </c:pt>
                <c:pt idx="892">
                  <c:v>-12.615352581194269</c:v>
                </c:pt>
                <c:pt idx="893">
                  <c:v>-12.625851557431906</c:v>
                </c:pt>
                <c:pt idx="894">
                  <c:v>-12.636350538682795</c:v>
                </c:pt>
                <c:pt idx="895">
                  <c:v>-12.646849524946751</c:v>
                </c:pt>
                <c:pt idx="896">
                  <c:v>-12.657348516223593</c:v>
                </c:pt>
                <c:pt idx="897">
                  <c:v>-12.667847512513134</c:v>
                </c:pt>
                <c:pt idx="898">
                  <c:v>-12.678346513815194</c:v>
                </c:pt>
                <c:pt idx="899">
                  <c:v>-12.688845520129588</c:v>
                </c:pt>
                <c:pt idx="900">
                  <c:v>-12.699344531456131</c:v>
                </c:pt>
                <c:pt idx="901">
                  <c:v>-12.709843547794639</c:v>
                </c:pt>
                <c:pt idx="902">
                  <c:v>-12.720342569144931</c:v>
                </c:pt>
                <c:pt idx="903">
                  <c:v>-12.730841595506822</c:v>
                </c:pt>
                <c:pt idx="904">
                  <c:v>-12.741340626880129</c:v>
                </c:pt>
                <c:pt idx="905">
                  <c:v>-12.751839663264668</c:v>
                </c:pt>
                <c:pt idx="906">
                  <c:v>-12.762338704660255</c:v>
                </c:pt>
                <c:pt idx="907">
                  <c:v>-12.772837751066707</c:v>
                </c:pt>
                <c:pt idx="908">
                  <c:v>-12.78333680248384</c:v>
                </c:pt>
                <c:pt idx="909">
                  <c:v>-12.79383585891147</c:v>
                </c:pt>
                <c:pt idx="910">
                  <c:v>-12.804334920349413</c:v>
                </c:pt>
                <c:pt idx="911">
                  <c:v>-12.814833986797488</c:v>
                </c:pt>
                <c:pt idx="912">
                  <c:v>-12.825333058255509</c:v>
                </c:pt>
                <c:pt idx="913">
                  <c:v>-12.835832134723294</c:v>
                </c:pt>
                <c:pt idx="914">
                  <c:v>-12.846331216200658</c:v>
                </c:pt>
                <c:pt idx="915">
                  <c:v>-12.856830302687419</c:v>
                </c:pt>
                <c:pt idx="916">
                  <c:v>-12.867329394183391</c:v>
                </c:pt>
                <c:pt idx="917">
                  <c:v>-12.877828490688394</c:v>
                </c:pt>
                <c:pt idx="918">
                  <c:v>-12.888327592202241</c:v>
                </c:pt>
                <c:pt idx="919">
                  <c:v>-12.898826698724751</c:v>
                </c:pt>
                <c:pt idx="920">
                  <c:v>-12.909325810255739</c:v>
                </c:pt>
                <c:pt idx="921">
                  <c:v>-12.919824926795021</c:v>
                </c:pt>
                <c:pt idx="922">
                  <c:v>-12.930324048342415</c:v>
                </c:pt>
                <c:pt idx="923">
                  <c:v>-12.940823174897737</c:v>
                </c:pt>
                <c:pt idx="924">
                  <c:v>-12.951322306460803</c:v>
                </c:pt>
                <c:pt idx="925">
                  <c:v>-12.961821443031429</c:v>
                </c:pt>
                <c:pt idx="926">
                  <c:v>-12.972320584609433</c:v>
                </c:pt>
                <c:pt idx="927">
                  <c:v>-12.982819731194629</c:v>
                </c:pt>
                <c:pt idx="928">
                  <c:v>-12.993318882786836</c:v>
                </c:pt>
                <c:pt idx="929">
                  <c:v>-13.00381803938587</c:v>
                </c:pt>
                <c:pt idx="930">
                  <c:v>-13.014317200991545</c:v>
                </c:pt>
                <c:pt idx="931">
                  <c:v>-13.024816367603682</c:v>
                </c:pt>
                <c:pt idx="932">
                  <c:v>-13.035315539222093</c:v>
                </c:pt>
                <c:pt idx="933">
                  <c:v>-13.045814715846598</c:v>
                </c:pt>
                <c:pt idx="934">
                  <c:v>-13.056313897477011</c:v>
                </c:pt>
                <c:pt idx="935">
                  <c:v>-13.06681308411315</c:v>
                </c:pt>
                <c:pt idx="936">
                  <c:v>-13.07731227575483</c:v>
                </c:pt>
                <c:pt idx="937">
                  <c:v>-13.087811472401869</c:v>
                </c:pt>
                <c:pt idx="938">
                  <c:v>-13.098310674054082</c:v>
                </c:pt>
                <c:pt idx="939">
                  <c:v>-13.108809880711286</c:v>
                </c:pt>
                <c:pt idx="940">
                  <c:v>-13.119309092373298</c:v>
                </c:pt>
                <c:pt idx="941">
                  <c:v>-13.129808309039934</c:v>
                </c:pt>
                <c:pt idx="942">
                  <c:v>-13.140307530711011</c:v>
                </c:pt>
                <c:pt idx="943">
                  <c:v>-13.150806757386347</c:v>
                </c:pt>
                <c:pt idx="944">
                  <c:v>-13.161305989065756</c:v>
                </c:pt>
                <c:pt idx="945">
                  <c:v>-13.171805225749056</c:v>
                </c:pt>
                <c:pt idx="946">
                  <c:v>-13.182304467436062</c:v>
                </c:pt>
                <c:pt idx="947">
                  <c:v>-13.19280371412659</c:v>
                </c:pt>
                <c:pt idx="948">
                  <c:v>-13.203302965820459</c:v>
                </c:pt>
                <c:pt idx="949">
                  <c:v>-13.213802222517485</c:v>
                </c:pt>
                <c:pt idx="950">
                  <c:v>-13.224301484217484</c:v>
                </c:pt>
                <c:pt idx="951">
                  <c:v>-13.234800750920273</c:v>
                </c:pt>
                <c:pt idx="952">
                  <c:v>-13.245300022625669</c:v>
                </c:pt>
                <c:pt idx="953">
                  <c:v>-13.255799299333486</c:v>
                </c:pt>
                <c:pt idx="954">
                  <c:v>-13.266298581043541</c:v>
                </c:pt>
                <c:pt idx="955">
                  <c:v>-13.276797867755652</c:v>
                </c:pt>
                <c:pt idx="956">
                  <c:v>-13.287297159469636</c:v>
                </c:pt>
                <c:pt idx="957">
                  <c:v>-13.29779645618531</c:v>
                </c:pt>
                <c:pt idx="958">
                  <c:v>-13.308295757902489</c:v>
                </c:pt>
                <c:pt idx="959">
                  <c:v>-13.318795064620989</c:v>
                </c:pt>
                <c:pt idx="960">
                  <c:v>-13.329294376340627</c:v>
                </c:pt>
                <c:pt idx="961">
                  <c:v>-13.339793693061221</c:v>
                </c:pt>
                <c:pt idx="962">
                  <c:v>-13.350293014782586</c:v>
                </c:pt>
                <c:pt idx="963">
                  <c:v>-13.36079234150454</c:v>
                </c:pt>
                <c:pt idx="964">
                  <c:v>-13.371291673226898</c:v>
                </c:pt>
                <c:pt idx="965">
                  <c:v>-13.381791009949477</c:v>
                </c:pt>
                <c:pt idx="966">
                  <c:v>-13.392290351672095</c:v>
                </c:pt>
                <c:pt idx="967">
                  <c:v>-13.402789698394567</c:v>
                </c:pt>
                <c:pt idx="968">
                  <c:v>-13.41328905011671</c:v>
                </c:pt>
                <c:pt idx="969">
                  <c:v>-13.423788406838339</c:v>
                </c:pt>
                <c:pt idx="970">
                  <c:v>-13.434287768559273</c:v>
                </c:pt>
                <c:pt idx="971">
                  <c:v>-13.444787135279327</c:v>
                </c:pt>
                <c:pt idx="972">
                  <c:v>-13.45528650699832</c:v>
                </c:pt>
                <c:pt idx="973">
                  <c:v>-13.465785883716066</c:v>
                </c:pt>
                <c:pt idx="974">
                  <c:v>-13.476285265432383</c:v>
                </c:pt>
                <c:pt idx="975">
                  <c:v>-13.486784652147087</c:v>
                </c:pt>
                <c:pt idx="976">
                  <c:v>-13.497284043859995</c:v>
                </c:pt>
                <c:pt idx="977">
                  <c:v>-13.507783440570924</c:v>
                </c:pt>
                <c:pt idx="978">
                  <c:v>-13.518282842279689</c:v>
                </c:pt>
                <c:pt idx="979">
                  <c:v>-13.528782248986108</c:v>
                </c:pt>
                <c:pt idx="980">
                  <c:v>-13.539281660689996</c:v>
                </c:pt>
                <c:pt idx="981">
                  <c:v>-13.549781077391172</c:v>
                </c:pt>
                <c:pt idx="982">
                  <c:v>-13.560280499089451</c:v>
                </c:pt>
                <c:pt idx="983">
                  <c:v>-13.570779925784651</c:v>
                </c:pt>
                <c:pt idx="984">
                  <c:v>-13.581279357476587</c:v>
                </c:pt>
                <c:pt idx="985">
                  <c:v>-13.591778794165077</c:v>
                </c:pt>
                <c:pt idx="986">
                  <c:v>-13.602278235849935</c:v>
                </c:pt>
                <c:pt idx="987">
                  <c:v>-13.612777682530981</c:v>
                </c:pt>
                <c:pt idx="988">
                  <c:v>-13.623277134208029</c:v>
                </c:pt>
                <c:pt idx="989">
                  <c:v>-13.633776590880899</c:v>
                </c:pt>
                <c:pt idx="990">
                  <c:v>-13.644276052549404</c:v>
                </c:pt>
                <c:pt idx="991">
                  <c:v>-13.654775519213363</c:v>
                </c:pt>
                <c:pt idx="992">
                  <c:v>-13.665274990872591</c:v>
                </c:pt>
                <c:pt idx="993">
                  <c:v>-13.675774467526907</c:v>
                </c:pt>
                <c:pt idx="994">
                  <c:v>-13.686273949176124</c:v>
                </c:pt>
                <c:pt idx="995">
                  <c:v>-13.696773435820061</c:v>
                </c:pt>
                <c:pt idx="996">
                  <c:v>-13.707272927458535</c:v>
                </c:pt>
                <c:pt idx="997">
                  <c:v>-13.717772424091361</c:v>
                </c:pt>
                <c:pt idx="998">
                  <c:v>-13.728271925718358</c:v>
                </c:pt>
                <c:pt idx="999">
                  <c:v>-13.738771432339341</c:v>
                </c:pt>
                <c:pt idx="1000">
                  <c:v>-13.749270943954127</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100.55190764607381</c:v>
                </c:pt>
                <c:pt idx="1">
                  <c:v>100.92604486455873</c:v>
                </c:pt>
                <c:pt idx="2">
                  <c:v>101.30053271825916</c:v>
                </c:pt>
                <c:pt idx="3">
                  <c:v>101.67598716392254</c:v>
                </c:pt>
                <c:pt idx="4">
                  <c:v>102.05251987376249</c:v>
                </c:pt>
                <c:pt idx="5">
                  <c:v>102.43002369811185</c:v>
                </c:pt>
                <c:pt idx="6">
                  <c:v>102.80845818181649</c:v>
                </c:pt>
                <c:pt idx="7">
                  <c:v>103.18781622245535</c:v>
                </c:pt>
                <c:pt idx="8">
                  <c:v>103.56809072005159</c:v>
                </c:pt>
                <c:pt idx="9">
                  <c:v>103.94927457724636</c:v>
                </c:pt>
                <c:pt idx="10">
                  <c:v>104.33136069947048</c:v>
                </c:pt>
                <c:pt idx="11">
                  <c:v>104.71434199511383</c:v>
                </c:pt>
                <c:pt idx="12">
                  <c:v>105.09821137569259</c:v>
                </c:pt>
                <c:pt idx="13">
                  <c:v>105.4829617560143</c:v>
                </c:pt>
                <c:pt idx="14">
                  <c:v>105.86858605434081</c:v>
                </c:pt>
                <c:pt idx="15">
                  <c:v>106.25507719254892</c:v>
                </c:pt>
                <c:pt idx="16">
                  <c:v>106.64242809628905</c:v>
                </c:pt>
                <c:pt idx="17">
                  <c:v>107.03063169514164</c:v>
                </c:pt>
                <c:pt idx="18">
                  <c:v>107.41968092277142</c:v>
                </c:pt>
                <c:pt idx="19">
                  <c:v>107.80956871707967</c:v>
                </c:pt>
                <c:pt idx="20">
                  <c:v>108.20028802035418</c:v>
                </c:pt>
                <c:pt idx="21">
                  <c:v>108.59183177941725</c:v>
                </c:pt>
                <c:pt idx="22">
                  <c:v>108.98419294577151</c:v>
                </c:pt>
                <c:pt idx="23">
                  <c:v>109.3773644757437</c:v>
                </c:pt>
                <c:pt idx="24">
                  <c:v>109.77133933062629</c:v>
                </c:pt>
                <c:pt idx="25">
                  <c:v>110.1661104768171</c:v>
                </c:pt>
                <c:pt idx="26">
                  <c:v>110.56167088595679</c:v>
                </c:pt>
                <c:pt idx="27">
                  <c:v>110.95801353506437</c:v>
                </c:pt>
                <c:pt idx="28">
                  <c:v>111.35513140667058</c:v>
                </c:pt>
                <c:pt idx="29">
                  <c:v>111.75301748894931</c:v>
                </c:pt>
                <c:pt idx="30">
                  <c:v>112.15166477584688</c:v>
                </c:pt>
                <c:pt idx="31">
                  <c:v>112.55106626720945</c:v>
                </c:pt>
                <c:pt idx="32">
                  <c:v>112.95121496890829</c:v>
                </c:pt>
                <c:pt idx="33">
                  <c:v>113.3521038929631</c:v>
                </c:pt>
                <c:pt idx="34">
                  <c:v>113.75372605766337</c:v>
                </c:pt>
                <c:pt idx="35">
                  <c:v>114.15607448768768</c:v>
                </c:pt>
                <c:pt idx="36">
                  <c:v>114.55914221422111</c:v>
                </c:pt>
                <c:pt idx="37">
                  <c:v>114.96292227507065</c:v>
                </c:pt>
                <c:pt idx="38">
                  <c:v>115.36740771477865</c:v>
                </c:pt>
                <c:pt idx="39">
                  <c:v>115.77259158473436</c:v>
                </c:pt>
                <c:pt idx="40">
                  <c:v>116.17846694328348</c:v>
                </c:pt>
                <c:pt idx="41">
                  <c:v>116.58502685583589</c:v>
                </c:pt>
                <c:pt idx="42">
                  <c:v>116.99226439497134</c:v>
                </c:pt>
                <c:pt idx="43">
                  <c:v>117.40017264054339</c:v>
                </c:pt>
                <c:pt idx="44">
                  <c:v>117.80874467978127</c:v>
                </c:pt>
                <c:pt idx="45">
                  <c:v>118.21797360739008</c:v>
                </c:pt>
                <c:pt idx="46">
                  <c:v>118.62785252564893</c:v>
                </c:pt>
                <c:pt idx="47">
                  <c:v>119.03837454450735</c:v>
                </c:pt>
                <c:pt idx="48">
                  <c:v>119.44953278167975</c:v>
                </c:pt>
                <c:pt idx="49">
                  <c:v>119.86132036273816</c:v>
                </c:pt>
                <c:pt idx="50">
                  <c:v>120.273730421203</c:v>
                </c:pt>
                <c:pt idx="51">
                  <c:v>120.68675609863219</c:v>
                </c:pt>
                <c:pt idx="52">
                  <c:v>121.10039054470833</c:v>
                </c:pt>
                <c:pt idx="53">
                  <c:v>121.51462691732415</c:v>
                </c:pt>
                <c:pt idx="54">
                  <c:v>121.92945838266617</c:v>
                </c:pt>
                <c:pt idx="55">
                  <c:v>122.34487811529654</c:v>
                </c:pt>
                <c:pt idx="56">
                  <c:v>122.76087929823318</c:v>
                </c:pt>
                <c:pt idx="57">
                  <c:v>123.17745512302817</c:v>
                </c:pt>
                <c:pt idx="58">
                  <c:v>123.59459878984433</c:v>
                </c:pt>
                <c:pt idx="59">
                  <c:v>124.01230350753013</c:v>
                </c:pt>
                <c:pt idx="60">
                  <c:v>124.4305624936929</c:v>
                </c:pt>
                <c:pt idx="61">
                  <c:v>124.84936897477029</c:v>
                </c:pt>
                <c:pt idx="62">
                  <c:v>125.26871618609998</c:v>
                </c:pt>
                <c:pt idx="63">
                  <c:v>125.68859438057122</c:v>
                </c:pt>
                <c:pt idx="64">
                  <c:v>126.108987839015</c:v>
                </c:pt>
                <c:pt idx="65">
                  <c:v>126.52987786990754</c:v>
                </c:pt>
                <c:pt idx="66">
                  <c:v>126.95124580746118</c:v>
                </c:pt>
                <c:pt idx="67">
                  <c:v>127.3730702640584</c:v>
                </c:pt>
                <c:pt idx="68">
                  <c:v>127.79532438457059</c:v>
                </c:pt>
                <c:pt idx="69">
                  <c:v>128.21797371023965</c:v>
                </c:pt>
                <c:pt idx="70">
                  <c:v>128.640974044681</c:v>
                </c:pt>
                <c:pt idx="71">
                  <c:v>129.06427636208124</c:v>
                </c:pt>
                <c:pt idx="72">
                  <c:v>129.4878317120598</c:v>
                </c:pt>
                <c:pt idx="73">
                  <c:v>129.91159122129494</c:v>
                </c:pt>
                <c:pt idx="74">
                  <c:v>130.33550609507745</c:v>
                </c:pt>
                <c:pt idx="75">
                  <c:v>130.75952761879225</c:v>
                </c:pt>
                <c:pt idx="76">
                  <c:v>131.1836071593284</c:v>
                </c:pt>
                <c:pt idx="77">
                  <c:v>131.60769616641812</c:v>
                </c:pt>
                <c:pt idx="78">
                  <c:v>132.03174617390511</c:v>
                </c:pt>
                <c:pt idx="79">
                  <c:v>132.45570880094252</c:v>
                </c:pt>
                <c:pt idx="80">
                  <c:v>132.87953575312144</c:v>
                </c:pt>
                <c:pt idx="81">
                  <c:v>133.30318467901506</c:v>
                </c:pt>
                <c:pt idx="82">
                  <c:v>133.7266250188969</c:v>
                </c:pt>
                <c:pt idx="83">
                  <c:v>134.14983212745014</c:v>
                </c:pt>
                <c:pt idx="84">
                  <c:v>134.57278140377352</c:v>
                </c:pt>
                <c:pt idx="85">
                  <c:v>134.9954482914078</c:v>
                </c:pt>
                <c:pt idx="86">
                  <c:v>135.41780827834535</c:v>
                </c:pt>
                <c:pt idx="87">
                  <c:v>135.83983689702328</c:v>
                </c:pt>
                <c:pt idx="88">
                  <c:v>136.26150972430003</c:v>
                </c:pt>
                <c:pt idx="89">
                  <c:v>136.68280423903076</c:v>
                </c:pt>
                <c:pt idx="90">
                  <c:v>137.10370167695098</c:v>
                </c:pt>
                <c:pt idx="91">
                  <c:v>137.5241851655571</c:v>
                </c:pt>
                <c:pt idx="92">
                  <c:v>137.94423786162082</c:v>
                </c:pt>
                <c:pt idx="93">
                  <c:v>138.36384341646084</c:v>
                </c:pt>
                <c:pt idx="94">
                  <c:v>138.78298644052299</c:v>
                </c:pt>
                <c:pt idx="95">
                  <c:v>139.2016520359191</c:v>
                </c:pt>
                <c:pt idx="96">
                  <c:v>139.61982532964444</c:v>
                </c:pt>
                <c:pt idx="97">
                  <c:v>140.03749333908138</c:v>
                </c:pt>
                <c:pt idx="98">
                  <c:v>140.45464683471721</c:v>
                </c:pt>
                <c:pt idx="99">
                  <c:v>140.87127846675401</c:v>
                </c:pt>
                <c:pt idx="100">
                  <c:v>141.2873808945277</c:v>
                </c:pt>
                <c:pt idx="101">
                  <c:v>141.70294678638183</c:v>
                </c:pt>
                <c:pt idx="102">
                  <c:v>142.11796881954007</c:v>
                </c:pt>
                <c:pt idx="103">
                  <c:v>142.53243967997801</c:v>
                </c:pt>
                <c:pt idx="104">
                  <c:v>142.94635206229387</c:v>
                </c:pt>
                <c:pt idx="105">
                  <c:v>143.35969866957822</c:v>
                </c:pt>
                <c:pt idx="106">
                  <c:v>143.77247221328292</c:v>
                </c:pt>
                <c:pt idx="107">
                  <c:v>144.18466541308885</c:v>
                </c:pt>
                <c:pt idx="108">
                  <c:v>144.59627099677289</c:v>
                </c:pt>
                <c:pt idx="109">
                  <c:v>145.00728404689499</c:v>
                </c:pt>
                <c:pt idx="110">
                  <c:v>145.41770434404177</c:v>
                </c:pt>
                <c:pt idx="111">
                  <c:v>145.82753401061197</c:v>
                </c:pt>
                <c:pt idx="112">
                  <c:v>146.23677515814998</c:v>
                </c:pt>
                <c:pt idx="113">
                  <c:v>146.64542988742096</c:v>
                </c:pt>
                <c:pt idx="114">
                  <c:v>147.05350028848534</c:v>
                </c:pt>
                <c:pt idx="115">
                  <c:v>147.46098844077258</c:v>
                </c:pt>
                <c:pt idx="116">
                  <c:v>147.8678964131544</c:v>
                </c:pt>
                <c:pt idx="117">
                  <c:v>148.2742262640173</c:v>
                </c:pt>
                <c:pt idx="118">
                  <c:v>148.67998004133457</c:v>
                </c:pt>
                <c:pt idx="119">
                  <c:v>149.08515978273752</c:v>
                </c:pt>
                <c:pt idx="120">
                  <c:v>149.48976751558621</c:v>
                </c:pt>
                <c:pt idx="121">
                  <c:v>149.89380525703956</c:v>
                </c:pt>
                <c:pt idx="122">
                  <c:v>150.29727501412481</c:v>
                </c:pt>
                <c:pt idx="123">
                  <c:v>150.70017878380648</c:v>
                </c:pt>
                <c:pt idx="124">
                  <c:v>151.10251855305464</c:v>
                </c:pt>
                <c:pt idx="125">
                  <c:v>151.50429629891272</c:v>
                </c:pt>
                <c:pt idx="126">
                  <c:v>151.90551398856459</c:v>
                </c:pt>
                <c:pt idx="127">
                  <c:v>152.30617357940119</c:v>
                </c:pt>
                <c:pt idx="128">
                  <c:v>152.7062770190866</c:v>
                </c:pt>
                <c:pt idx="129">
                  <c:v>153.10582624562343</c:v>
                </c:pt>
                <c:pt idx="130">
                  <c:v>153.50482318741786</c:v>
                </c:pt>
                <c:pt idx="131">
                  <c:v>153.90326976334393</c:v>
                </c:pt>
                <c:pt idx="132">
                  <c:v>154.30116788280739</c:v>
                </c:pt>
                <c:pt idx="133">
                  <c:v>154.69851944580904</c:v>
                </c:pt>
                <c:pt idx="134">
                  <c:v>155.09532634300746</c:v>
                </c:pt>
                <c:pt idx="135">
                  <c:v>155.49159045578125</c:v>
                </c:pt>
                <c:pt idx="136">
                  <c:v>155.88731365629087</c:v>
                </c:pt>
                <c:pt idx="137">
                  <c:v>156.28249780753973</c:v>
                </c:pt>
                <c:pt idx="138">
                  <c:v>156.67714476343491</c:v>
                </c:pt>
                <c:pt idx="139">
                  <c:v>157.07125636884746</c:v>
                </c:pt>
                <c:pt idx="140">
                  <c:v>157.46483445967201</c:v>
                </c:pt>
                <c:pt idx="141">
                  <c:v>157.85788086288599</c:v>
                </c:pt>
                <c:pt idx="142">
                  <c:v>158.25039739660841</c:v>
                </c:pt>
                <c:pt idx="143">
                  <c:v>158.64238587015808</c:v>
                </c:pt>
                <c:pt idx="144">
                  <c:v>159.03384808411133</c:v>
                </c:pt>
                <c:pt idx="145">
                  <c:v>159.4247858303593</c:v>
                </c:pt>
                <c:pt idx="146">
                  <c:v>159.81520089216482</c:v>
                </c:pt>
                <c:pt idx="147">
                  <c:v>160.20509504421872</c:v>
                </c:pt>
                <c:pt idx="148">
                  <c:v>160.5944700526957</c:v>
                </c:pt>
                <c:pt idx="149">
                  <c:v>160.98332767530977</c:v>
                </c:pt>
                <c:pt idx="150">
                  <c:v>161.37166966136928</c:v>
                </c:pt>
                <c:pt idx="151">
                  <c:v>161.75949775183142</c:v>
                </c:pt>
                <c:pt idx="152">
                  <c:v>162.14681367935631</c:v>
                </c:pt>
                <c:pt idx="153">
                  <c:v>162.53361916836067</c:v>
                </c:pt>
                <c:pt idx="154">
                  <c:v>162.91991593507103</c:v>
                </c:pt>
                <c:pt idx="155">
                  <c:v>163.30570568757653</c:v>
                </c:pt>
                <c:pt idx="156">
                  <c:v>163.69099012588129</c:v>
                </c:pt>
                <c:pt idx="157">
                  <c:v>164.07577094195631</c:v>
                </c:pt>
                <c:pt idx="158">
                  <c:v>164.4600498197911</c:v>
                </c:pt>
                <c:pt idx="159">
                  <c:v>164.84382843544466</c:v>
                </c:pt>
                <c:pt idx="160">
                  <c:v>165.22710845709634</c:v>
                </c:pt>
                <c:pt idx="161">
                  <c:v>165.60989154509593</c:v>
                </c:pt>
                <c:pt idx="162">
                  <c:v>165.99217935201381</c:v>
                </c:pt>
                <c:pt idx="163">
                  <c:v>166.37397352269019</c:v>
                </c:pt>
                <c:pt idx="164">
                  <c:v>166.75527569428442</c:v>
                </c:pt>
                <c:pt idx="165">
                  <c:v>167.1360874963236</c:v>
                </c:pt>
                <c:pt idx="166">
                  <c:v>167.51641055075095</c:v>
                </c:pt>
                <c:pt idx="167">
                  <c:v>167.89624647197371</c:v>
                </c:pt>
                <c:pt idx="168">
                  <c:v>168.2755968669108</c:v>
                </c:pt>
                <c:pt idx="169">
                  <c:v>168.65446333503988</c:v>
                </c:pt>
                <c:pt idx="170">
                  <c:v>169.03284746844426</c:v>
                </c:pt>
                <c:pt idx="171">
                  <c:v>169.41075085185935</c:v>
                </c:pt>
                <c:pt idx="172">
                  <c:v>169.78817506271872</c:v>
                </c:pt>
                <c:pt idx="173">
                  <c:v>170.16512167119981</c:v>
                </c:pt>
                <c:pt idx="174">
                  <c:v>170.54159224026932</c:v>
                </c:pt>
                <c:pt idx="175">
                  <c:v>170.91758832572825</c:v>
                </c:pt>
                <c:pt idx="176">
                  <c:v>171.29311147625648</c:v>
                </c:pt>
                <c:pt idx="177">
                  <c:v>171.66816323345716</c:v>
                </c:pt>
                <c:pt idx="178">
                  <c:v>172.04274513190066</c:v>
                </c:pt>
                <c:pt idx="179">
                  <c:v>172.41685869916816</c:v>
                </c:pt>
                <c:pt idx="180">
                  <c:v>172.79050545589496</c:v>
                </c:pt>
                <c:pt idx="181">
                  <c:v>173.16368691581343</c:v>
                </c:pt>
                <c:pt idx="182">
                  <c:v>173.53640458579568</c:v>
                </c:pt>
                <c:pt idx="183">
                  <c:v>173.90865996589577</c:v>
                </c:pt>
                <c:pt idx="184">
                  <c:v>174.28045454939166</c:v>
                </c:pt>
                <c:pt idx="185">
                  <c:v>174.65178982282703</c:v>
                </c:pt>
                <c:pt idx="186">
                  <c:v>175.02266726605234</c:v>
                </c:pt>
                <c:pt idx="187">
                  <c:v>175.39308835226606</c:v>
                </c:pt>
                <c:pt idx="188">
                  <c:v>175.76305454805524</c:v>
                </c:pt>
                <c:pt idx="189">
                  <c:v>176.13256731343594</c:v>
                </c:pt>
                <c:pt idx="190">
                  <c:v>176.50162810189323</c:v>
                </c:pt>
                <c:pt idx="191">
                  <c:v>176.87023836042107</c:v>
                </c:pt>
                <c:pt idx="192">
                  <c:v>177.23839952956169</c:v>
                </c:pt>
                <c:pt idx="193">
                  <c:v>177.60611304344476</c:v>
                </c:pt>
                <c:pt idx="194">
                  <c:v>177.97338032982631</c:v>
                </c:pt>
                <c:pt idx="195">
                  <c:v>178.34020281012721</c:v>
                </c:pt>
                <c:pt idx="196">
                  <c:v>178.70658189947156</c:v>
                </c:pt>
                <c:pt idx="197">
                  <c:v>179.07251900672458</c:v>
                </c:pt>
                <c:pt idx="198">
                  <c:v>179.43801553453039</c:v>
                </c:pt>
                <c:pt idx="199">
                  <c:v>179.8030728793494</c:v>
                </c:pt>
                <c:pt idx="200">
                  <c:v>180.16769243149545</c:v>
                </c:pt>
                <c:pt idx="201">
                  <c:v>183.78991656323387</c:v>
                </c:pt>
                <c:pt idx="202">
                  <c:v>187.36925102188789</c:v>
                </c:pt>
                <c:pt idx="203">
                  <c:v>190.90703072043962</c:v>
                </c:pt>
                <c:pt idx="204">
                  <c:v>194.40453363445232</c:v>
                </c:pt>
                <c:pt idx="205">
                  <c:v>197.86298408047725</c:v>
                </c:pt>
                <c:pt idx="206">
                  <c:v>201.28355576112966</c:v>
                </c:pt>
                <c:pt idx="207">
                  <c:v>204.66737459658142</c:v>
                </c:pt>
                <c:pt idx="208">
                  <c:v>208.01552136028656</c:v>
                </c:pt>
                <c:pt idx="209">
                  <c:v>211.32903413503954</c:v>
                </c:pt>
                <c:pt idx="210">
                  <c:v>214.60891060393595</c:v>
                </c:pt>
                <c:pt idx="211">
                  <c:v>217.85611018943942</c:v>
                </c:pt>
                <c:pt idx="212">
                  <c:v>221.07155605253789</c:v>
                </c:pt>
                <c:pt idx="213">
                  <c:v>224.25613696287877</c:v>
                </c:pt>
                <c:pt idx="214">
                  <c:v>227.41070904979233</c:v>
                </c:pt>
                <c:pt idx="215">
                  <c:v>230.53609744323137</c:v>
                </c:pt>
                <c:pt idx="216">
                  <c:v>233.63309781286372</c:v>
                </c:pt>
                <c:pt idx="217">
                  <c:v>236.70247781283982</c:v>
                </c:pt>
                <c:pt idx="218">
                  <c:v>239.74497843911442</c:v>
                </c:pt>
                <c:pt idx="219">
                  <c:v>242.76131530561943</c:v>
                </c:pt>
                <c:pt idx="220">
                  <c:v>245.75217984505969</c:v>
                </c:pt>
                <c:pt idx="221">
                  <c:v>248.71824043962627</c:v>
                </c:pt>
                <c:pt idx="222">
                  <c:v>251.66014348649105</c:v>
                </c:pt>
                <c:pt idx="223">
                  <c:v>254.57851440255291</c:v>
                </c:pt>
                <c:pt idx="224">
                  <c:v>257.47395857255077</c:v>
                </c:pt>
                <c:pt idx="225">
                  <c:v>260.34706224433313</c:v>
                </c:pt>
                <c:pt idx="226">
                  <c:v>263.19839337477902</c:v>
                </c:pt>
                <c:pt idx="227">
                  <c:v>266.02850242959471</c:v>
                </c:pt>
                <c:pt idx="228">
                  <c:v>268.8379231399656</c:v>
                </c:pt>
                <c:pt idx="229">
                  <c:v>271.6271732188161</c:v>
                </c:pt>
                <c:pt idx="230">
                  <c:v>274.3967550392253</c:v>
                </c:pt>
                <c:pt idx="231">
                  <c:v>277.14715627735694</c:v>
                </c:pt>
                <c:pt idx="232">
                  <c:v>279.87885052208901</c:v>
                </c:pt>
                <c:pt idx="233">
                  <c:v>282.59229785336964</c:v>
                </c:pt>
                <c:pt idx="234">
                  <c:v>285.28794539117928</c:v>
                </c:pt>
                <c:pt idx="235">
                  <c:v>287.96622781684482</c:v>
                </c:pt>
                <c:pt idx="236">
                  <c:v>290.6275678683275</c:v>
                </c:pt>
                <c:pt idx="237">
                  <c:v>293.27237681099166</c:v>
                </c:pt>
                <c:pt idx="238">
                  <c:v>295.90105488525671</c:v>
                </c:pt>
                <c:pt idx="239">
                  <c:v>298.51399173243624</c:v>
                </c:pt>
                <c:pt idx="240">
                  <c:v>301.11156679997777</c:v>
                </c:pt>
                <c:pt idx="241">
                  <c:v>303.69414972723433</c:v>
                </c:pt>
                <c:pt idx="242">
                  <c:v>306.26210071281957</c:v>
                </c:pt>
                <c:pt idx="243">
                  <c:v>308.81577086452717</c:v>
                </c:pt>
                <c:pt idx="244">
                  <c:v>311.35550253272754</c:v>
                </c:pt>
                <c:pt idx="245">
                  <c:v>313.88162962809253</c:v>
                </c:pt>
                <c:pt idx="246">
                  <c:v>316.39447792444037</c:v>
                </c:pt>
                <c:pt idx="247">
                  <c:v>318.89436534743805</c:v>
                </c:pt>
                <c:pt idx="248">
                  <c:v>321.38160224984733</c:v>
                </c:pt>
                <c:pt idx="249">
                  <c:v>323.85649167395303</c:v>
                </c:pt>
                <c:pt idx="250">
                  <c:v>326.31932960176539</c:v>
                </c:pt>
                <c:pt idx="251">
                  <c:v>328.77040519354756</c:v>
                </c:pt>
                <c:pt idx="252">
                  <c:v>331.21000101517672</c:v>
                </c:pt>
                <c:pt idx="253">
                  <c:v>333.63839325481064</c:v>
                </c:pt>
                <c:pt idx="254">
                  <c:v>336.05585192929374</c:v>
                </c:pt>
                <c:pt idx="255">
                  <c:v>338.46264108070187</c:v>
                </c:pt>
                <c:pt idx="256">
                  <c:v>340.8590189633918</c:v>
                </c:pt>
                <c:pt idx="257">
                  <c:v>343.2452382218886</c:v>
                </c:pt>
                <c:pt idx="258">
                  <c:v>345.62154605991253</c:v>
                </c:pt>
                <c:pt idx="259">
                  <c:v>347.98818440081652</c:v>
                </c:pt>
                <c:pt idx="260">
                  <c:v>350.34539003967592</c:v>
                </c:pt>
                <c:pt idx="261">
                  <c:v>352.69339478724123</c:v>
                </c:pt>
                <c:pt idx="262">
                  <c:v>355.03242560593679</c:v>
                </c:pt>
                <c:pt idx="263">
                  <c:v>357.36270473805843</c:v>
                </c:pt>
                <c:pt idx="264">
                  <c:v>359.68444982629381</c:v>
                </c:pt>
                <c:pt idx="265">
                  <c:v>361.99787402666072</c:v>
                </c:pt>
                <c:pt idx="266">
                  <c:v>364.30318611392727</c:v>
                </c:pt>
                <c:pt idx="267">
                  <c:v>366.60059057954942</c:v>
                </c:pt>
                <c:pt idx="268">
                  <c:v>368.89028772212879</c:v>
                </c:pt>
                <c:pt idx="269">
                  <c:v>371.17247373036327</c:v>
                </c:pt>
                <c:pt idx="270">
                  <c:v>373.44734075842916</c:v>
                </c:pt>
                <c:pt idx="271">
                  <c:v>375.71507699370085</c:v>
                </c:pt>
                <c:pt idx="272">
                  <c:v>377.97586671667887</c:v>
                </c:pt>
                <c:pt idx="273">
                  <c:v>380.22989035296206</c:v>
                </c:pt>
                <c:pt idx="274">
                  <c:v>382.47732451706202</c:v>
                </c:pt>
                <c:pt idx="275">
                  <c:v>384.7183420478213</c:v>
                </c:pt>
                <c:pt idx="276">
                  <c:v>386.95311203515917</c:v>
                </c:pt>
                <c:pt idx="277">
                  <c:v>389.18179983782915</c:v>
                </c:pt>
                <c:pt idx="278">
                  <c:v>391.40456709183655</c:v>
                </c:pt>
                <c:pt idx="279">
                  <c:v>393.6215717091269</c:v>
                </c:pt>
                <c:pt idx="280">
                  <c:v>395.83296786612266</c:v>
                </c:pt>
                <c:pt idx="281">
                  <c:v>398.03890598165566</c:v>
                </c:pt>
                <c:pt idx="282">
                  <c:v>400.23953268381831</c:v>
                </c:pt>
                <c:pt idx="283">
                  <c:v>402.43499076524182</c:v>
                </c:pt>
                <c:pt idx="284">
                  <c:v>404.62541912630496</c:v>
                </c:pt>
                <c:pt idx="285">
                  <c:v>406.81095270578851</c:v>
                </c:pt>
                <c:pt idx="286">
                  <c:v>408.99172239852169</c:v>
                </c:pt>
                <c:pt idx="287">
                  <c:v>411.16785495962404</c:v>
                </c:pt>
                <c:pt idx="288">
                  <c:v>413.33947289503453</c:v>
                </c:pt>
                <c:pt idx="289">
                  <c:v>415.50669433814721</c:v>
                </c:pt>
                <c:pt idx="290">
                  <c:v>417.66963291254706</c:v>
                </c:pt>
                <c:pt idx="291">
                  <c:v>419.82839758106729</c:v>
                </c:pt>
                <c:pt idx="292">
                  <c:v>421.98309248167914</c:v>
                </c:pt>
                <c:pt idx="293">
                  <c:v>424.13381675108155</c:v>
                </c:pt>
                <c:pt idx="294">
                  <c:v>426.28066433728497</c:v>
                </c:pt>
                <c:pt idx="295">
                  <c:v>428.42372380297883</c:v>
                </c:pt>
                <c:pt idx="296">
                  <c:v>430.56307812203073</c:v>
                </c:pt>
                <c:pt idx="297">
                  <c:v>432.69880447206924</c:v>
                </c:pt>
                <c:pt idx="298">
                  <c:v>434.83097402673098</c:v>
                </c:pt>
                <c:pt idx="299">
                  <c:v>436.95965175176741</c:v>
                </c:pt>
                <c:pt idx="300">
                  <c:v>439.08489620976701</c:v>
                </c:pt>
                <c:pt idx="301">
                  <c:v>441.20675937869822</c:v>
                </c:pt>
                <c:pt idx="302">
                  <c:v>443.32528648976074</c:v>
                </c:pt>
                <c:pt idx="303">
                  <c:v>445.44051589009445</c:v>
                </c:pt>
                <c:pt idx="304">
                  <c:v>447.55247893568651</c:v>
                </c:pt>
                <c:pt idx="305">
                  <c:v>449.66119991931424</c:v>
                </c:pt>
                <c:pt idx="306">
                  <c:v>451.7666960375584</c:v>
                </c:pt>
                <c:pt idx="307">
                  <c:v>453.86897739985028</c:v>
                </c:pt>
                <c:pt idx="308">
                  <c:v>455.96804708123244</c:v>
                </c:pt>
                <c:pt idx="309">
                  <c:v>458.06390121910442</c:v>
                </c:pt>
                <c:pt idx="310">
                  <c:v>460.15652915279145</c:v>
                </c:pt>
                <c:pt idx="311">
                  <c:v>462.24591360342214</c:v>
                </c:pt>
                <c:pt idx="312">
                  <c:v>464.33203089042553</c:v>
                </c:pt>
                <c:pt idx="313">
                  <c:v>466.41485118002981</c:v>
                </c:pt>
                <c:pt idx="314">
                  <c:v>468.49433876051268</c:v>
                </c:pt>
                <c:pt idx="315">
                  <c:v>470.57045233862374</c:v>
                </c:pt>
                <c:pt idx="316">
                  <c:v>472.6431453515612</c:v>
                </c:pt>
                <c:pt idx="317">
                  <c:v>474.71236628909401</c:v>
                </c:pt>
                <c:pt idx="318">
                  <c:v>476.77805902082838</c:v>
                </c:pt>
                <c:pt idx="319">
                  <c:v>478.84016312416077</c:v>
                </c:pt>
                <c:pt idx="320">
                  <c:v>480.8986142090838</c:v>
                </c:pt>
                <c:pt idx="321">
                  <c:v>482.95334423666549</c:v>
                </c:pt>
                <c:pt idx="322">
                  <c:v>485.00428182866494</c:v>
                </c:pt>
                <c:pt idx="323">
                  <c:v>487.05135256634929</c:v>
                </c:pt>
                <c:pt idx="324">
                  <c:v>489.09447927711966</c:v>
                </c:pt>
                <c:pt idx="325">
                  <c:v>491.13358230802447</c:v>
                </c:pt>
                <c:pt idx="326">
                  <c:v>493.16857978563678</c:v>
                </c:pt>
                <c:pt idx="327">
                  <c:v>495.19938786209701</c:v>
                </c:pt>
                <c:pt idx="328">
                  <c:v>497.22592094738206</c:v>
                </c:pt>
                <c:pt idx="329">
                  <c:v>499.24809192806066</c:v>
                </c:pt>
                <c:pt idx="330">
                  <c:v>501.26581237294204</c:v>
                </c:pt>
                <c:pt idx="331">
                  <c:v>503.2789927261303</c:v>
                </c:pt>
                <c:pt idx="332">
                  <c:v>505.28754248806581</c:v>
                </c:pt>
                <c:pt idx="333">
                  <c:v>507.29137038517496</c:v>
                </c:pt>
                <c:pt idx="334">
                  <c:v>509.29038452876921</c:v>
                </c:pt>
                <c:pt idx="335">
                  <c:v>511.28449256383493</c:v>
                </c:pt>
                <c:pt idx="336">
                  <c:v>513.27360180834501</c:v>
                </c:pt>
                <c:pt idx="337">
                  <c:v>515.25761938370215</c:v>
                </c:pt>
                <c:pt idx="338">
                  <c:v>517.23645233689865</c:v>
                </c:pt>
                <c:pt idx="339">
                  <c:v>519.2100077549461</c:v>
                </c:pt>
                <c:pt idx="340">
                  <c:v>521.178192872095</c:v>
                </c:pt>
                <c:pt idx="341">
                  <c:v>523.14091517033307</c:v>
                </c:pt>
                <c:pt idx="342">
                  <c:v>525.09808247361468</c:v>
                </c:pt>
                <c:pt idx="343">
                  <c:v>527.04960303624307</c:v>
                </c:pt>
                <c:pt idx="344">
                  <c:v>528.99538562579323</c:v>
                </c:pt>
                <c:pt idx="345">
                  <c:v>530.93533960093566</c:v>
                </c:pt>
                <c:pt idx="346">
                  <c:v>532.86937498449049</c:v>
                </c:pt>
                <c:pt idx="347">
                  <c:v>534.79740253201669</c:v>
                </c:pt>
                <c:pt idx="348">
                  <c:v>536.71933379621464</c:v>
                </c:pt>
                <c:pt idx="349">
                  <c:v>538.63508118739912</c:v>
                </c:pt>
                <c:pt idx="350">
                  <c:v>540.54455803027793</c:v>
                </c:pt>
                <c:pt idx="351">
                  <c:v>542.44767861725188</c:v>
                </c:pt>
                <c:pt idx="352">
                  <c:v>544.34435825843514</c:v>
                </c:pt>
                <c:pt idx="353">
                  <c:v>546.23451332857701</c:v>
                </c:pt>
                <c:pt idx="354">
                  <c:v>548.11806131105413</c:v>
                </c:pt>
                <c:pt idx="355">
                  <c:v>549.99492083908615</c:v>
                </c:pt>
                <c:pt idx="356">
                  <c:v>551.86501173431748</c:v>
                </c:pt>
                <c:pt idx="357">
                  <c:v>553.72825504289574</c:v>
                </c:pt>
                <c:pt idx="358">
                  <c:v>555.58457306916853</c:v>
                </c:pt>
                <c:pt idx="359">
                  <c:v>557.43388940710986</c:v>
                </c:pt>
                <c:pt idx="360">
                  <c:v>559.27612896958033</c:v>
                </c:pt>
                <c:pt idx="361">
                  <c:v>561.11121801551724</c:v>
                </c:pt>
                <c:pt idx="362">
                  <c:v>562.93908417514479</c:v>
                </c:pt>
                <c:pt idx="363">
                  <c:v>564.75965647328746</c:v>
                </c:pt>
                <c:pt idx="364">
                  <c:v>566.57286535086462</c:v>
                </c:pt>
                <c:pt idx="365">
                  <c:v>568.37864268463977</c:v>
                </c:pt>
                <c:pt idx="366">
                  <c:v>570.17692180529343</c:v>
                </c:pt>
                <c:pt idx="367">
                  <c:v>571.96763751388323</c:v>
                </c:pt>
                <c:pt idx="368">
                  <c:v>573.75072609675294</c:v>
                </c:pt>
                <c:pt idx="369">
                  <c:v>575.52612533894808</c:v>
                </c:pt>
                <c:pt idx="370">
                  <c:v>577.29377453619179</c:v>
                </c:pt>
                <c:pt idx="371">
                  <c:v>579.05361450547423</c:v>
                </c:pt>
                <c:pt idx="372">
                  <c:v>580.80558759430301</c:v>
                </c:pt>
                <c:pt idx="373">
                  <c:v>582.54963768866378</c:v>
                </c:pt>
                <c:pt idx="374">
                  <c:v>584.28571021973414</c:v>
                </c:pt>
                <c:pt idx="375">
                  <c:v>586.01375216939584</c:v>
                </c:pt>
                <c:pt idx="376">
                  <c:v>587.73371207458501</c:v>
                </c:pt>
                <c:pt idx="377">
                  <c:v>589.44554003052178</c:v>
                </c:pt>
                <c:pt idx="378">
                  <c:v>591.14918769285703</c:v>
                </c:pt>
                <c:pt idx="379">
                  <c:v>592.84460827877365</c:v>
                </c:pt>
                <c:pt idx="380">
                  <c:v>594.5317565670789</c:v>
                </c:pt>
                <c:pt idx="381">
                  <c:v>596.21058889732171</c:v>
                </c:pt>
                <c:pt idx="382">
                  <c:v>597.88106316796984</c:v>
                </c:pt>
                <c:pt idx="383">
                  <c:v>599.54313883367922</c:v>
                </c:pt>
                <c:pt idx="384">
                  <c:v>601.19677690168817</c:v>
                </c:pt>
                <c:pt idx="385">
                  <c:v>602.84193992736698</c:v>
                </c:pt>
                <c:pt idx="386">
                  <c:v>604.47859200895459</c:v>
                </c:pt>
                <c:pt idx="387">
                  <c:v>606.10669878151066</c:v>
                </c:pt>
                <c:pt idx="388">
                  <c:v>607.72622741011321</c:v>
                </c:pt>
                <c:pt idx="389">
                  <c:v>609.33714658233055</c:v>
                </c:pt>
                <c:pt idx="390">
                  <c:v>610.93942649999417</c:v>
                </c:pt>
                <c:pt idx="391">
                  <c:v>612.53303887030086</c:v>
                </c:pt>
                <c:pt idx="392">
                  <c:v>614.11795689627104</c:v>
                </c:pt>
                <c:pt idx="393">
                  <c:v>615.69415526658815</c:v>
                </c:pt>
                <c:pt idx="394">
                  <c:v>617.26161014484671</c:v>
                </c:pt>
                <c:pt idx="395">
                  <c:v>618.82029915823216</c:v>
                </c:pt>
                <c:pt idx="396">
                  <c:v>620.37020138565913</c:v>
                </c:pt>
                <c:pt idx="397">
                  <c:v>621.91129734539084</c:v>
                </c:pt>
                <c:pt idx="398">
                  <c:v>623.44356898216461</c:v>
                </c:pt>
                <c:pt idx="399">
                  <c:v>624.96699965384562</c:v>
                </c:pt>
                <c:pt idx="400">
                  <c:v>626.48157411763259</c:v>
                </c:pt>
                <c:pt idx="401">
                  <c:v>627.98727851583772</c:v>
                </c:pt>
                <c:pt idx="402">
                  <c:v>629.48410036126211</c:v>
                </c:pt>
                <c:pt idx="403">
                  <c:v>630.97202852218959</c:v>
                </c:pt>
                <c:pt idx="404">
                  <c:v>632.45105320701816</c:v>
                </c:pt>
                <c:pt idx="405">
                  <c:v>633.92116594855179</c:v>
                </c:pt>
                <c:pt idx="406">
                  <c:v>635.38235958797088</c:v>
                </c:pt>
                <c:pt idx="407">
                  <c:v>636.83462825850245</c:v>
                </c:pt>
                <c:pt idx="408">
                  <c:v>638.27796736880919</c:v>
                </c:pt>
                <c:pt idx="409">
                  <c:v>639.71237358611586</c:v>
                </c:pt>
                <c:pt idx="410">
                  <c:v>641.13784481909215</c:v>
                </c:pt>
                <c:pt idx="411">
                  <c:v>642.55438020050963</c:v>
                </c:pt>
                <c:pt idx="412">
                  <c:v>643.96198006969109</c:v>
                </c:pt>
                <c:pt idx="413">
                  <c:v>645.36064595476864</c:v>
                </c:pt>
                <c:pt idx="414">
                  <c:v>646.75038055476841</c:v>
                </c:pt>
                <c:pt idx="415">
                  <c:v>648.1311877215378</c:v>
                </c:pt>
                <c:pt idx="416">
                  <c:v>649.503072441531</c:v>
                </c:pt>
                <c:pt idx="417">
                  <c:v>650.8660408174693</c:v>
                </c:pt>
                <c:pt idx="418">
                  <c:v>652.22010004989011</c:v>
                </c:pt>
                <c:pt idx="419">
                  <c:v>653.56525841860093</c:v>
                </c:pt>
                <c:pt idx="420">
                  <c:v>654.90152526405143</c:v>
                </c:pt>
                <c:pt idx="421">
                  <c:v>656.22891096863827</c:v>
                </c:pt>
                <c:pt idx="422">
                  <c:v>657.54742693795606</c:v>
                </c:pt>
                <c:pt idx="423">
                  <c:v>658.8570855820077</c:v>
                </c:pt>
                <c:pt idx="424">
                  <c:v>660.15790029638652</c:v>
                </c:pt>
                <c:pt idx="425">
                  <c:v>661.44988544344335</c:v>
                </c:pt>
                <c:pt idx="426">
                  <c:v>662.73305633344933</c:v>
                </c:pt>
                <c:pt idx="427">
                  <c:v>664.00742920576761</c:v>
                </c:pt>
                <c:pt idx="428">
                  <c:v>665.27302121004334</c:v>
                </c:pt>
                <c:pt idx="429">
                  <c:v>666.52985038742429</c:v>
                </c:pt>
                <c:pt idx="430">
                  <c:v>667.77793565182208</c:v>
                </c:pt>
                <c:pt idx="431">
                  <c:v>669.01729677122319</c:v>
                </c:pt>
                <c:pt idx="432">
                  <c:v>670.24795434906093</c:v>
                </c:pt>
                <c:pt idx="433">
                  <c:v>671.46992980565676</c:v>
                </c:pt>
                <c:pt idx="434">
                  <c:v>672.68324535974</c:v>
                </c:pt>
                <c:pt idx="435">
                  <c:v>673.8879240100548</c:v>
                </c:pt>
                <c:pt idx="436">
                  <c:v>675.08398951706261</c:v>
                </c:pt>
                <c:pt idx="437">
                  <c:v>676.27146638474778</c:v>
                </c:pt>
                <c:pt idx="438">
                  <c:v>677.45037984253418</c:v>
                </c:pt>
                <c:pt idx="439">
                  <c:v>678.62075582732007</c:v>
                </c:pt>
                <c:pt idx="440">
                  <c:v>679.78262096563788</c:v>
                </c:pt>
                <c:pt idx="441">
                  <c:v>680.93600255594549</c:v>
                </c:pt>
                <c:pt idx="442">
                  <c:v>682.08092855105588</c:v>
                </c:pt>
                <c:pt idx="443">
                  <c:v>683.21742754071022</c:v>
                </c:pt>
                <c:pt idx="444">
                  <c:v>684.34552873430073</c:v>
                </c:pt>
                <c:pt idx="445">
                  <c:v>685.46526194374849</c:v>
                </c:pt>
                <c:pt idx="446">
                  <c:v>686.57665756654103</c:v>
                </c:pt>
                <c:pt idx="447">
                  <c:v>687.67974656893466</c:v>
                </c:pt>
                <c:pt idx="448">
                  <c:v>688.77456046932639</c:v>
                </c:pt>
                <c:pt idx="449">
                  <c:v>689.86113132179889</c:v>
                </c:pt>
                <c:pt idx="450">
                  <c:v>690.93949169984307</c:v>
                </c:pt>
                <c:pt idx="451">
                  <c:v>692.00967468026181</c:v>
                </c:pt>
                <c:pt idx="452">
                  <c:v>693.07171382725812</c:v>
                </c:pt>
                <c:pt idx="453">
                  <c:v>694.12564317671115</c:v>
                </c:pt>
                <c:pt idx="454">
                  <c:v>695.171497220643</c:v>
                </c:pt>
                <c:pt idx="455">
                  <c:v>696.209310891879</c:v>
                </c:pt>
                <c:pt idx="456">
                  <c:v>697.23911954890343</c:v>
                </c:pt>
                <c:pt idx="457">
                  <c:v>698.26095896091419</c:v>
                </c:pt>
                <c:pt idx="458">
                  <c:v>699.27486529307703</c:v>
                </c:pt>
                <c:pt idx="459">
                  <c:v>700.28087509198235</c:v>
                </c:pt>
                <c:pt idx="460">
                  <c:v>701.2790252713055</c:v>
                </c:pt>
                <c:pt idx="461">
                  <c:v>702.26935309767248</c:v>
                </c:pt>
                <c:pt idx="462">
                  <c:v>703.25189617673175</c:v>
                </c:pt>
                <c:pt idx="463">
                  <c:v>704.22669243943369</c:v>
                </c:pt>
                <c:pt idx="464">
                  <c:v>705.19378012851882</c:v>
                </c:pt>
                <c:pt idx="465">
                  <c:v>706.15319778521462</c:v>
                </c:pt>
                <c:pt idx="466">
                  <c:v>707.10498423614217</c:v>
                </c:pt>
                <c:pt idx="467">
                  <c:v>708.04917858043325</c:v>
                </c:pt>
                <c:pt idx="468">
                  <c:v>708.98582017705735</c:v>
                </c:pt>
                <c:pt idx="469">
                  <c:v>709.91494863235914</c:v>
                </c:pt>
                <c:pt idx="470">
                  <c:v>710.83660378780678</c:v>
                </c:pt>
                <c:pt idx="471">
                  <c:v>711.7508257079495</c:v>
                </c:pt>
                <c:pt idx="472">
                  <c:v>712.65765466858613</c:v>
                </c:pt>
                <c:pt idx="473">
                  <c:v>713.55713114514242</c:v>
                </c:pt>
                <c:pt idx="474">
                  <c:v>714.44929580125722</c:v>
                </c:pt>
                <c:pt idx="475">
                  <c:v>715.33418947757707</c:v>
                </c:pt>
                <c:pt idx="476">
                  <c:v>716.21185318075834</c:v>
                </c:pt>
                <c:pt idx="477">
                  <c:v>717.08232807267518</c:v>
                </c:pt>
                <c:pt idx="478">
                  <c:v>717.94565545983403</c:v>
                </c:pt>
                <c:pt idx="479">
                  <c:v>718.8018767829916</c:v>
                </c:pt>
                <c:pt idx="480">
                  <c:v>719.6510336069764</c:v>
                </c:pt>
                <c:pt idx="481">
                  <c:v>720.49316761071259</c:v>
                </c:pt>
                <c:pt idx="482">
                  <c:v>721.32832057744383</c:v>
                </c:pt>
                <c:pt idx="483">
                  <c:v>722.15653438515687</c:v>
                </c:pt>
                <c:pt idx="484">
                  <c:v>722.97785099720238</c:v>
                </c:pt>
                <c:pt idx="485">
                  <c:v>723.79231245311212</c:v>
                </c:pt>
                <c:pt idx="486">
                  <c:v>724.59996085961041</c:v>
                </c:pt>
                <c:pt idx="487">
                  <c:v>725.4008383818184</c:v>
                </c:pt>
                <c:pt idx="488">
                  <c:v>726.1949872346496</c:v>
                </c:pt>
                <c:pt idx="489">
                  <c:v>726.98244967439405</c:v>
                </c:pt>
                <c:pt idx="490">
                  <c:v>727.76326799049002</c:v>
                </c:pt>
                <c:pt idx="491">
                  <c:v>728.53748449748139</c:v>
                </c:pt>
                <c:pt idx="492">
                  <c:v>729.30514152715818</c:v>
                </c:pt>
                <c:pt idx="493">
                  <c:v>730.06628142087834</c:v>
                </c:pt>
                <c:pt idx="494">
                  <c:v>730.82094652206922</c:v>
                </c:pt>
                <c:pt idx="495">
                  <c:v>731.56917916890632</c:v>
                </c:pt>
                <c:pt idx="496">
                  <c:v>732.31102168716723</c:v>
                </c:pt>
                <c:pt idx="497">
                  <c:v>733.04651638325834</c:v>
                </c:pt>
                <c:pt idx="498">
                  <c:v>733.77570553741316</c:v>
                </c:pt>
                <c:pt idx="499">
                  <c:v>734.49863139705849</c:v>
                </c:pt>
                <c:pt idx="500">
                  <c:v>735.215336170348</c:v>
                </c:pt>
                <c:pt idx="501">
                  <c:v>735.92586201985932</c:v>
                </c:pt>
                <c:pt idx="502">
                  <c:v>736.63025105645397</c:v>
                </c:pt>
                <c:pt idx="503">
                  <c:v>737.32854533329623</c:v>
                </c:pt>
                <c:pt idx="504">
                  <c:v>738.0207868400305</c:v>
                </c:pt>
                <c:pt idx="505">
                  <c:v>738.70701749711316</c:v>
                </c:pt>
                <c:pt idx="506">
                  <c:v>739.38727915029801</c:v>
                </c:pt>
                <c:pt idx="507">
                  <c:v>740.06161356527173</c:v>
                </c:pt>
                <c:pt idx="508">
                  <c:v>740.73006242243878</c:v>
                </c:pt>
                <c:pt idx="509">
                  <c:v>741.39266731185114</c:v>
                </c:pt>
                <c:pt idx="510">
                  <c:v>742.04946972828316</c:v>
                </c:pt>
                <c:pt idx="511">
                  <c:v>742.70051106644701</c:v>
                </c:pt>
                <c:pt idx="512">
                  <c:v>743.34583261634782</c:v>
                </c:pt>
                <c:pt idx="513">
                  <c:v>743.98547555877565</c:v>
                </c:pt>
                <c:pt idx="514">
                  <c:v>744.61948096093238</c:v>
                </c:pt>
                <c:pt idx="515">
                  <c:v>745.24788977219066</c:v>
                </c:pt>
                <c:pt idx="516">
                  <c:v>745.87074281998321</c:v>
                </c:pt>
                <c:pt idx="517">
                  <c:v>745.87074281998321</c:v>
                </c:pt>
                <c:pt idx="518">
                  <c:v>745.87074281998321</c:v>
                </c:pt>
                <c:pt idx="519">
                  <c:v>745.87074281998321</c:v>
                </c:pt>
                <c:pt idx="520">
                  <c:v>745.87074281998321</c:v>
                </c:pt>
                <c:pt idx="521">
                  <c:v>745.87074281998321</c:v>
                </c:pt>
                <c:pt idx="522">
                  <c:v>745.87074281998321</c:v>
                </c:pt>
                <c:pt idx="523">
                  <c:v>745.87074281998321</c:v>
                </c:pt>
                <c:pt idx="524">
                  <c:v>745.87074281998321</c:v>
                </c:pt>
                <c:pt idx="525">
                  <c:v>745.87074281998321</c:v>
                </c:pt>
                <c:pt idx="526">
                  <c:v>745.87074281998321</c:v>
                </c:pt>
                <c:pt idx="527">
                  <c:v>745.87074281998321</c:v>
                </c:pt>
                <c:pt idx="528">
                  <c:v>745.87074281998321</c:v>
                </c:pt>
                <c:pt idx="529">
                  <c:v>745.87074281998321</c:v>
                </c:pt>
                <c:pt idx="530">
                  <c:v>745.87074281998321</c:v>
                </c:pt>
                <c:pt idx="531">
                  <c:v>745.87074281998321</c:v>
                </c:pt>
                <c:pt idx="532">
                  <c:v>745.87074281998321</c:v>
                </c:pt>
                <c:pt idx="533">
                  <c:v>745.87074281998321</c:v>
                </c:pt>
                <c:pt idx="534">
                  <c:v>745.87074281998321</c:v>
                </c:pt>
                <c:pt idx="535">
                  <c:v>745.87074281998321</c:v>
                </c:pt>
                <c:pt idx="536">
                  <c:v>745.87074281998321</c:v>
                </c:pt>
                <c:pt idx="537">
                  <c:v>745.87074281998321</c:v>
                </c:pt>
                <c:pt idx="538">
                  <c:v>745.87074281998321</c:v>
                </c:pt>
                <c:pt idx="539">
                  <c:v>745.87074281998321</c:v>
                </c:pt>
                <c:pt idx="540">
                  <c:v>745.87074281998321</c:v>
                </c:pt>
                <c:pt idx="541">
                  <c:v>745.87074281998321</c:v>
                </c:pt>
                <c:pt idx="542">
                  <c:v>745.87074281998321</c:v>
                </c:pt>
                <c:pt idx="543">
                  <c:v>745.87074281998321</c:v>
                </c:pt>
                <c:pt idx="544">
                  <c:v>745.87074281998321</c:v>
                </c:pt>
                <c:pt idx="545">
                  <c:v>745.87074281998321</c:v>
                </c:pt>
                <c:pt idx="546">
                  <c:v>745.87074281998321</c:v>
                </c:pt>
                <c:pt idx="547">
                  <c:v>745.87074281998321</c:v>
                </c:pt>
                <c:pt idx="548">
                  <c:v>745.87074281998321</c:v>
                </c:pt>
                <c:pt idx="549">
                  <c:v>745.87074281998321</c:v>
                </c:pt>
                <c:pt idx="550">
                  <c:v>745.87074281998321</c:v>
                </c:pt>
                <c:pt idx="551">
                  <c:v>745.87074281998321</c:v>
                </c:pt>
                <c:pt idx="552">
                  <c:v>745.87074281998321</c:v>
                </c:pt>
                <c:pt idx="553">
                  <c:v>745.87074281998321</c:v>
                </c:pt>
                <c:pt idx="554">
                  <c:v>745.87074281998321</c:v>
                </c:pt>
                <c:pt idx="555">
                  <c:v>745.87074281998321</c:v>
                </c:pt>
                <c:pt idx="556">
                  <c:v>745.87074281998321</c:v>
                </c:pt>
                <c:pt idx="557">
                  <c:v>745.87074281998321</c:v>
                </c:pt>
                <c:pt idx="558">
                  <c:v>745.87074281998321</c:v>
                </c:pt>
                <c:pt idx="559">
                  <c:v>745.87074281998321</c:v>
                </c:pt>
                <c:pt idx="560">
                  <c:v>745.87074281998321</c:v>
                </c:pt>
                <c:pt idx="561">
                  <c:v>745.87074281998321</c:v>
                </c:pt>
                <c:pt idx="562">
                  <c:v>745.87074281998321</c:v>
                </c:pt>
                <c:pt idx="563">
                  <c:v>745.87074281998321</c:v>
                </c:pt>
                <c:pt idx="564">
                  <c:v>745.87074281998321</c:v>
                </c:pt>
                <c:pt idx="565">
                  <c:v>745.87074281998321</c:v>
                </c:pt>
                <c:pt idx="566">
                  <c:v>745.87074281998321</c:v>
                </c:pt>
                <c:pt idx="567">
                  <c:v>745.87074281998321</c:v>
                </c:pt>
                <c:pt idx="568">
                  <c:v>745.87074281998321</c:v>
                </c:pt>
                <c:pt idx="569">
                  <c:v>745.87074281998321</c:v>
                </c:pt>
                <c:pt idx="570">
                  <c:v>745.87074281998321</c:v>
                </c:pt>
                <c:pt idx="571">
                  <c:v>745.87074281998321</c:v>
                </c:pt>
                <c:pt idx="572">
                  <c:v>745.87074281998321</c:v>
                </c:pt>
                <c:pt idx="573">
                  <c:v>745.87074281998321</c:v>
                </c:pt>
                <c:pt idx="574">
                  <c:v>745.87074281998321</c:v>
                </c:pt>
                <c:pt idx="575">
                  <c:v>745.87074281998321</c:v>
                </c:pt>
                <c:pt idx="576">
                  <c:v>745.87074281998321</c:v>
                </c:pt>
                <c:pt idx="577">
                  <c:v>745.87074281998321</c:v>
                </c:pt>
                <c:pt idx="578">
                  <c:v>745.87074281998321</c:v>
                </c:pt>
                <c:pt idx="579">
                  <c:v>745.87074281998321</c:v>
                </c:pt>
                <c:pt idx="580">
                  <c:v>745.87074281998321</c:v>
                </c:pt>
                <c:pt idx="581">
                  <c:v>745.87074281998321</c:v>
                </c:pt>
                <c:pt idx="582">
                  <c:v>745.87074281998321</c:v>
                </c:pt>
                <c:pt idx="583">
                  <c:v>745.87074281998321</c:v>
                </c:pt>
                <c:pt idx="584">
                  <c:v>745.87074281998321</c:v>
                </c:pt>
                <c:pt idx="585">
                  <c:v>745.87074281998321</c:v>
                </c:pt>
                <c:pt idx="586">
                  <c:v>745.87074281998321</c:v>
                </c:pt>
                <c:pt idx="587">
                  <c:v>745.87074281998321</c:v>
                </c:pt>
                <c:pt idx="588">
                  <c:v>745.87074281998321</c:v>
                </c:pt>
                <c:pt idx="589">
                  <c:v>745.87074281998321</c:v>
                </c:pt>
                <c:pt idx="590">
                  <c:v>745.87074281998321</c:v>
                </c:pt>
                <c:pt idx="591">
                  <c:v>745.87074281998321</c:v>
                </c:pt>
                <c:pt idx="592">
                  <c:v>745.87074281998321</c:v>
                </c:pt>
                <c:pt idx="593">
                  <c:v>745.87074281998321</c:v>
                </c:pt>
                <c:pt idx="594">
                  <c:v>745.87074281998321</c:v>
                </c:pt>
                <c:pt idx="595">
                  <c:v>745.87074281998321</c:v>
                </c:pt>
                <c:pt idx="596">
                  <c:v>745.87074281998321</c:v>
                </c:pt>
                <c:pt idx="597">
                  <c:v>745.87074281998321</c:v>
                </c:pt>
                <c:pt idx="598">
                  <c:v>745.87074281998321</c:v>
                </c:pt>
                <c:pt idx="599">
                  <c:v>745.87074281998321</c:v>
                </c:pt>
                <c:pt idx="600">
                  <c:v>745.87074281998321</c:v>
                </c:pt>
                <c:pt idx="601">
                  <c:v>745.87074281998321</c:v>
                </c:pt>
                <c:pt idx="602">
                  <c:v>745.87074281998321</c:v>
                </c:pt>
                <c:pt idx="603">
                  <c:v>745.87074281998321</c:v>
                </c:pt>
                <c:pt idx="604">
                  <c:v>745.87074281998321</c:v>
                </c:pt>
                <c:pt idx="605">
                  <c:v>745.87074281998321</c:v>
                </c:pt>
                <c:pt idx="606">
                  <c:v>745.87074281998321</c:v>
                </c:pt>
                <c:pt idx="607">
                  <c:v>745.87074281998321</c:v>
                </c:pt>
                <c:pt idx="608">
                  <c:v>745.87074281998321</c:v>
                </c:pt>
                <c:pt idx="609">
                  <c:v>745.87074281998321</c:v>
                </c:pt>
                <c:pt idx="610">
                  <c:v>745.87074281998321</c:v>
                </c:pt>
                <c:pt idx="611">
                  <c:v>745.87074281998321</c:v>
                </c:pt>
                <c:pt idx="612">
                  <c:v>745.87074281998321</c:v>
                </c:pt>
                <c:pt idx="613">
                  <c:v>745.87074281998321</c:v>
                </c:pt>
                <c:pt idx="614">
                  <c:v>745.87074281998321</c:v>
                </c:pt>
                <c:pt idx="615">
                  <c:v>745.87074281998321</c:v>
                </c:pt>
                <c:pt idx="616">
                  <c:v>745.87074281998321</c:v>
                </c:pt>
                <c:pt idx="617">
                  <c:v>745.87074281998321</c:v>
                </c:pt>
                <c:pt idx="618">
                  <c:v>745.87074281998321</c:v>
                </c:pt>
                <c:pt idx="619">
                  <c:v>745.87074281998321</c:v>
                </c:pt>
                <c:pt idx="620">
                  <c:v>745.87074281998321</c:v>
                </c:pt>
                <c:pt idx="621">
                  <c:v>745.87074281998321</c:v>
                </c:pt>
                <c:pt idx="622">
                  <c:v>745.87074281998321</c:v>
                </c:pt>
                <c:pt idx="623">
                  <c:v>745.87074281998321</c:v>
                </c:pt>
                <c:pt idx="624">
                  <c:v>745.87074281998321</c:v>
                </c:pt>
                <c:pt idx="625">
                  <c:v>745.87074281998321</c:v>
                </c:pt>
                <c:pt idx="626">
                  <c:v>745.87074281998321</c:v>
                </c:pt>
                <c:pt idx="627">
                  <c:v>745.87074281998321</c:v>
                </c:pt>
                <c:pt idx="628">
                  <c:v>745.87074281998321</c:v>
                </c:pt>
                <c:pt idx="629">
                  <c:v>745.87074281998321</c:v>
                </c:pt>
                <c:pt idx="630">
                  <c:v>745.87074281998321</c:v>
                </c:pt>
                <c:pt idx="631">
                  <c:v>745.87074281998321</c:v>
                </c:pt>
                <c:pt idx="632">
                  <c:v>745.87074281998321</c:v>
                </c:pt>
                <c:pt idx="633">
                  <c:v>745.87074281998321</c:v>
                </c:pt>
                <c:pt idx="634">
                  <c:v>745.87074281998321</c:v>
                </c:pt>
                <c:pt idx="635">
                  <c:v>745.87074281998321</c:v>
                </c:pt>
                <c:pt idx="636">
                  <c:v>745.87074281998321</c:v>
                </c:pt>
                <c:pt idx="637">
                  <c:v>745.87074281998321</c:v>
                </c:pt>
                <c:pt idx="638">
                  <c:v>745.87074281998321</c:v>
                </c:pt>
                <c:pt idx="639">
                  <c:v>745.87074281998321</c:v>
                </c:pt>
                <c:pt idx="640">
                  <c:v>745.87074281998321</c:v>
                </c:pt>
                <c:pt idx="641">
                  <c:v>745.87074281998321</c:v>
                </c:pt>
                <c:pt idx="642">
                  <c:v>745.87074281998321</c:v>
                </c:pt>
                <c:pt idx="643">
                  <c:v>745.87074281998321</c:v>
                </c:pt>
                <c:pt idx="644">
                  <c:v>745.87074281998321</c:v>
                </c:pt>
                <c:pt idx="645">
                  <c:v>745.87074281998321</c:v>
                </c:pt>
                <c:pt idx="646">
                  <c:v>745.87074281998321</c:v>
                </c:pt>
                <c:pt idx="647">
                  <c:v>745.87074281998321</c:v>
                </c:pt>
                <c:pt idx="648">
                  <c:v>745.87074281998321</c:v>
                </c:pt>
                <c:pt idx="649">
                  <c:v>745.87074281998321</c:v>
                </c:pt>
                <c:pt idx="650">
                  <c:v>745.87074281998321</c:v>
                </c:pt>
                <c:pt idx="651">
                  <c:v>745.87074281998321</c:v>
                </c:pt>
                <c:pt idx="652">
                  <c:v>745.87074281998321</c:v>
                </c:pt>
                <c:pt idx="653">
                  <c:v>745.87074281998321</c:v>
                </c:pt>
                <c:pt idx="654">
                  <c:v>745.87074281998321</c:v>
                </c:pt>
                <c:pt idx="655">
                  <c:v>745.87074281998321</c:v>
                </c:pt>
                <c:pt idx="656">
                  <c:v>745.87074281998321</c:v>
                </c:pt>
                <c:pt idx="657">
                  <c:v>745.87074281998321</c:v>
                </c:pt>
                <c:pt idx="658">
                  <c:v>745.87074281998321</c:v>
                </c:pt>
                <c:pt idx="659">
                  <c:v>745.87074281998321</c:v>
                </c:pt>
                <c:pt idx="660">
                  <c:v>745.87074281998321</c:v>
                </c:pt>
                <c:pt idx="661">
                  <c:v>745.87074281998321</c:v>
                </c:pt>
                <c:pt idx="662">
                  <c:v>745.87074281998321</c:v>
                </c:pt>
                <c:pt idx="663">
                  <c:v>745.87074281998321</c:v>
                </c:pt>
                <c:pt idx="664">
                  <c:v>745.87074281998321</c:v>
                </c:pt>
                <c:pt idx="665">
                  <c:v>745.87074281998321</c:v>
                </c:pt>
                <c:pt idx="666">
                  <c:v>745.87074281998321</c:v>
                </c:pt>
                <c:pt idx="667">
                  <c:v>745.87074281998321</c:v>
                </c:pt>
                <c:pt idx="668">
                  <c:v>745.87074281998321</c:v>
                </c:pt>
                <c:pt idx="669">
                  <c:v>745.87074281998321</c:v>
                </c:pt>
                <c:pt idx="670">
                  <c:v>745.87074281998321</c:v>
                </c:pt>
                <c:pt idx="671">
                  <c:v>745.87074281998321</c:v>
                </c:pt>
                <c:pt idx="672">
                  <c:v>745.87074281998321</c:v>
                </c:pt>
                <c:pt idx="673">
                  <c:v>745.87074281998321</c:v>
                </c:pt>
                <c:pt idx="674">
                  <c:v>745.87074281998321</c:v>
                </c:pt>
                <c:pt idx="675">
                  <c:v>745.87074281998321</c:v>
                </c:pt>
                <c:pt idx="676">
                  <c:v>745.87074281998321</c:v>
                </c:pt>
                <c:pt idx="677">
                  <c:v>745.87074281998321</c:v>
                </c:pt>
                <c:pt idx="678">
                  <c:v>745.87074281998321</c:v>
                </c:pt>
                <c:pt idx="679">
                  <c:v>745.87074281998321</c:v>
                </c:pt>
                <c:pt idx="680">
                  <c:v>745.87074281998321</c:v>
                </c:pt>
                <c:pt idx="681">
                  <c:v>745.87074281998321</c:v>
                </c:pt>
                <c:pt idx="682">
                  <c:v>745.87074281998321</c:v>
                </c:pt>
                <c:pt idx="683">
                  <c:v>745.87074281998321</c:v>
                </c:pt>
                <c:pt idx="684">
                  <c:v>745.87074281998321</c:v>
                </c:pt>
                <c:pt idx="685">
                  <c:v>745.87074281998321</c:v>
                </c:pt>
                <c:pt idx="686">
                  <c:v>745.87074281998321</c:v>
                </c:pt>
                <c:pt idx="687">
                  <c:v>745.87074281998321</c:v>
                </c:pt>
                <c:pt idx="688">
                  <c:v>745.87074281998321</c:v>
                </c:pt>
                <c:pt idx="689">
                  <c:v>745.87074281998321</c:v>
                </c:pt>
                <c:pt idx="690">
                  <c:v>745.87074281998321</c:v>
                </c:pt>
                <c:pt idx="691">
                  <c:v>745.87074281998321</c:v>
                </c:pt>
                <c:pt idx="692">
                  <c:v>745.87074281998321</c:v>
                </c:pt>
                <c:pt idx="693">
                  <c:v>745.87074281998321</c:v>
                </c:pt>
                <c:pt idx="694">
                  <c:v>745.87074281998321</c:v>
                </c:pt>
                <c:pt idx="695">
                  <c:v>745.87074281998321</c:v>
                </c:pt>
                <c:pt idx="696">
                  <c:v>745.87074281998321</c:v>
                </c:pt>
                <c:pt idx="697">
                  <c:v>745.87074281998321</c:v>
                </c:pt>
                <c:pt idx="698">
                  <c:v>745.87074281998321</c:v>
                </c:pt>
                <c:pt idx="699">
                  <c:v>745.87074281998321</c:v>
                </c:pt>
                <c:pt idx="700">
                  <c:v>745.87074281998321</c:v>
                </c:pt>
                <c:pt idx="701">
                  <c:v>745.87074281998321</c:v>
                </c:pt>
                <c:pt idx="702">
                  <c:v>745.87074281998321</c:v>
                </c:pt>
                <c:pt idx="703">
                  <c:v>745.87074281998321</c:v>
                </c:pt>
                <c:pt idx="704">
                  <c:v>745.87074281998321</c:v>
                </c:pt>
                <c:pt idx="705">
                  <c:v>745.87074281998321</c:v>
                </c:pt>
                <c:pt idx="706">
                  <c:v>745.87074281998321</c:v>
                </c:pt>
                <c:pt idx="707">
                  <c:v>745.87074281998321</c:v>
                </c:pt>
                <c:pt idx="708">
                  <c:v>745.87074281998321</c:v>
                </c:pt>
                <c:pt idx="709">
                  <c:v>745.87074281998321</c:v>
                </c:pt>
                <c:pt idx="710">
                  <c:v>745.87074281998321</c:v>
                </c:pt>
                <c:pt idx="711">
                  <c:v>745.87074281998321</c:v>
                </c:pt>
                <c:pt idx="712">
                  <c:v>745.87074281998321</c:v>
                </c:pt>
                <c:pt idx="713">
                  <c:v>745.87074281998321</c:v>
                </c:pt>
                <c:pt idx="714">
                  <c:v>745.87074281998321</c:v>
                </c:pt>
                <c:pt idx="715">
                  <c:v>745.87074281998321</c:v>
                </c:pt>
                <c:pt idx="716">
                  <c:v>745.87074281998321</c:v>
                </c:pt>
                <c:pt idx="717">
                  <c:v>745.87074281998321</c:v>
                </c:pt>
                <c:pt idx="718">
                  <c:v>745.87074281998321</c:v>
                </c:pt>
                <c:pt idx="719">
                  <c:v>745.87074281998321</c:v>
                </c:pt>
                <c:pt idx="720">
                  <c:v>745.87074281998321</c:v>
                </c:pt>
                <c:pt idx="721">
                  <c:v>745.87074281998321</c:v>
                </c:pt>
                <c:pt idx="722">
                  <c:v>745.87074281998321</c:v>
                </c:pt>
                <c:pt idx="723">
                  <c:v>745.87074281998321</c:v>
                </c:pt>
                <c:pt idx="724">
                  <c:v>745.87074281998321</c:v>
                </c:pt>
                <c:pt idx="725">
                  <c:v>745.87074281998321</c:v>
                </c:pt>
                <c:pt idx="726">
                  <c:v>745.87074281998321</c:v>
                </c:pt>
                <c:pt idx="727">
                  <c:v>745.87074281998321</c:v>
                </c:pt>
                <c:pt idx="728">
                  <c:v>745.87074281998321</c:v>
                </c:pt>
                <c:pt idx="729">
                  <c:v>745.87074281998321</c:v>
                </c:pt>
                <c:pt idx="730">
                  <c:v>745.87074281998321</c:v>
                </c:pt>
                <c:pt idx="731">
                  <c:v>745.87074281998321</c:v>
                </c:pt>
                <c:pt idx="732">
                  <c:v>745.87074281998321</c:v>
                </c:pt>
                <c:pt idx="733">
                  <c:v>745.87074281998321</c:v>
                </c:pt>
                <c:pt idx="734">
                  <c:v>745.87074281998321</c:v>
                </c:pt>
                <c:pt idx="735">
                  <c:v>745.87074281998321</c:v>
                </c:pt>
                <c:pt idx="736">
                  <c:v>745.87074281998321</c:v>
                </c:pt>
                <c:pt idx="737">
                  <c:v>745.87074281998321</c:v>
                </c:pt>
                <c:pt idx="738">
                  <c:v>745.87074281998321</c:v>
                </c:pt>
                <c:pt idx="739">
                  <c:v>745.87074281998321</c:v>
                </c:pt>
                <c:pt idx="740">
                  <c:v>745.87074281998321</c:v>
                </c:pt>
                <c:pt idx="741">
                  <c:v>745.87074281998321</c:v>
                </c:pt>
                <c:pt idx="742">
                  <c:v>745.87074281998321</c:v>
                </c:pt>
                <c:pt idx="743">
                  <c:v>745.87074281998321</c:v>
                </c:pt>
                <c:pt idx="744">
                  <c:v>745.87074281998321</c:v>
                </c:pt>
                <c:pt idx="745">
                  <c:v>745.87074281998321</c:v>
                </c:pt>
                <c:pt idx="746">
                  <c:v>745.87074281998321</c:v>
                </c:pt>
                <c:pt idx="747">
                  <c:v>745.87074281998321</c:v>
                </c:pt>
                <c:pt idx="748">
                  <c:v>745.87074281998321</c:v>
                </c:pt>
                <c:pt idx="749">
                  <c:v>745.87074281998321</c:v>
                </c:pt>
                <c:pt idx="750">
                  <c:v>745.87074281998321</c:v>
                </c:pt>
                <c:pt idx="751">
                  <c:v>745.87074281998321</c:v>
                </c:pt>
                <c:pt idx="752">
                  <c:v>745.87074281998321</c:v>
                </c:pt>
                <c:pt idx="753">
                  <c:v>745.87074281998321</c:v>
                </c:pt>
                <c:pt idx="754">
                  <c:v>745.87074281998321</c:v>
                </c:pt>
                <c:pt idx="755">
                  <c:v>745.87074281998321</c:v>
                </c:pt>
                <c:pt idx="756">
                  <c:v>745.87074281998321</c:v>
                </c:pt>
                <c:pt idx="757">
                  <c:v>745.87074281998321</c:v>
                </c:pt>
                <c:pt idx="758">
                  <c:v>745.87074281998321</c:v>
                </c:pt>
                <c:pt idx="759">
                  <c:v>745.87074281998321</c:v>
                </c:pt>
                <c:pt idx="760">
                  <c:v>745.87074281998321</c:v>
                </c:pt>
                <c:pt idx="761">
                  <c:v>745.87074281998321</c:v>
                </c:pt>
                <c:pt idx="762">
                  <c:v>745.87074281998321</c:v>
                </c:pt>
                <c:pt idx="763">
                  <c:v>745.87074281998321</c:v>
                </c:pt>
                <c:pt idx="764">
                  <c:v>745.87074281998321</c:v>
                </c:pt>
                <c:pt idx="765">
                  <c:v>745.87074281998321</c:v>
                </c:pt>
                <c:pt idx="766">
                  <c:v>745.87074281998321</c:v>
                </c:pt>
                <c:pt idx="767">
                  <c:v>745.87074281998321</c:v>
                </c:pt>
                <c:pt idx="768">
                  <c:v>745.87074281998321</c:v>
                </c:pt>
                <c:pt idx="769">
                  <c:v>745.87074281998321</c:v>
                </c:pt>
                <c:pt idx="770">
                  <c:v>745.87074281998321</c:v>
                </c:pt>
                <c:pt idx="771">
                  <c:v>745.87074281998321</c:v>
                </c:pt>
                <c:pt idx="772">
                  <c:v>745.87074281998321</c:v>
                </c:pt>
                <c:pt idx="773">
                  <c:v>745.87074281998321</c:v>
                </c:pt>
                <c:pt idx="774">
                  <c:v>745.87074281998321</c:v>
                </c:pt>
                <c:pt idx="775">
                  <c:v>745.87074281998321</c:v>
                </c:pt>
                <c:pt idx="776">
                  <c:v>745.87074281998321</c:v>
                </c:pt>
                <c:pt idx="777">
                  <c:v>745.87074281998321</c:v>
                </c:pt>
                <c:pt idx="778">
                  <c:v>745.87074281998321</c:v>
                </c:pt>
                <c:pt idx="779">
                  <c:v>745.87074281998321</c:v>
                </c:pt>
                <c:pt idx="780">
                  <c:v>745.87074281998321</c:v>
                </c:pt>
                <c:pt idx="781">
                  <c:v>745.87074281998321</c:v>
                </c:pt>
                <c:pt idx="782">
                  <c:v>745.87074281998321</c:v>
                </c:pt>
                <c:pt idx="783">
                  <c:v>745.87074281998321</c:v>
                </c:pt>
                <c:pt idx="784">
                  <c:v>745.87074281998321</c:v>
                </c:pt>
                <c:pt idx="785">
                  <c:v>745.87074281998321</c:v>
                </c:pt>
                <c:pt idx="786">
                  <c:v>745.87074281998321</c:v>
                </c:pt>
                <c:pt idx="787">
                  <c:v>745.87074281998321</c:v>
                </c:pt>
                <c:pt idx="788">
                  <c:v>745.87074281998321</c:v>
                </c:pt>
                <c:pt idx="789">
                  <c:v>745.87074281998321</c:v>
                </c:pt>
                <c:pt idx="790">
                  <c:v>745.87074281998321</c:v>
                </c:pt>
                <c:pt idx="791">
                  <c:v>745.87074281998321</c:v>
                </c:pt>
                <c:pt idx="792">
                  <c:v>745.87074281998321</c:v>
                </c:pt>
                <c:pt idx="793">
                  <c:v>745.87074281998321</c:v>
                </c:pt>
                <c:pt idx="794">
                  <c:v>745.87074281998321</c:v>
                </c:pt>
                <c:pt idx="795">
                  <c:v>745.87074281998321</c:v>
                </c:pt>
                <c:pt idx="796">
                  <c:v>745.87074281998321</c:v>
                </c:pt>
                <c:pt idx="797">
                  <c:v>745.87074281998321</c:v>
                </c:pt>
                <c:pt idx="798">
                  <c:v>745.87074281998321</c:v>
                </c:pt>
                <c:pt idx="799">
                  <c:v>745.87074281998321</c:v>
                </c:pt>
                <c:pt idx="800">
                  <c:v>745.87074281998321</c:v>
                </c:pt>
                <c:pt idx="801">
                  <c:v>745.87074281998321</c:v>
                </c:pt>
                <c:pt idx="802">
                  <c:v>745.87074281998321</c:v>
                </c:pt>
                <c:pt idx="803">
                  <c:v>745.87074281998321</c:v>
                </c:pt>
                <c:pt idx="804">
                  <c:v>745.87074281998321</c:v>
                </c:pt>
                <c:pt idx="805">
                  <c:v>745.87074281998321</c:v>
                </c:pt>
                <c:pt idx="806">
                  <c:v>745.87074281998321</c:v>
                </c:pt>
                <c:pt idx="807">
                  <c:v>745.87074281998321</c:v>
                </c:pt>
                <c:pt idx="808">
                  <c:v>745.87074281998321</c:v>
                </c:pt>
                <c:pt idx="809">
                  <c:v>745.87074281998321</c:v>
                </c:pt>
                <c:pt idx="810">
                  <c:v>745.87074281998321</c:v>
                </c:pt>
                <c:pt idx="811">
                  <c:v>745.87074281998321</c:v>
                </c:pt>
                <c:pt idx="812">
                  <c:v>745.87074281998321</c:v>
                </c:pt>
                <c:pt idx="813">
                  <c:v>745.87074281998321</c:v>
                </c:pt>
                <c:pt idx="814">
                  <c:v>745.87074281998321</c:v>
                </c:pt>
                <c:pt idx="815">
                  <c:v>745.87074281998321</c:v>
                </c:pt>
                <c:pt idx="816">
                  <c:v>745.87074281998321</c:v>
                </c:pt>
                <c:pt idx="817">
                  <c:v>745.87074281998321</c:v>
                </c:pt>
                <c:pt idx="818">
                  <c:v>745.87074281998321</c:v>
                </c:pt>
                <c:pt idx="819">
                  <c:v>745.87074281998321</c:v>
                </c:pt>
                <c:pt idx="820">
                  <c:v>745.87074281998321</c:v>
                </c:pt>
                <c:pt idx="821">
                  <c:v>745.87074281998321</c:v>
                </c:pt>
                <c:pt idx="822">
                  <c:v>745.87074281998321</c:v>
                </c:pt>
                <c:pt idx="823">
                  <c:v>745.87074281998321</c:v>
                </c:pt>
                <c:pt idx="824">
                  <c:v>745.87074281998321</c:v>
                </c:pt>
                <c:pt idx="825">
                  <c:v>745.87074281998321</c:v>
                </c:pt>
                <c:pt idx="826">
                  <c:v>745.87074281998321</c:v>
                </c:pt>
                <c:pt idx="827">
                  <c:v>745.87074281998321</c:v>
                </c:pt>
                <c:pt idx="828">
                  <c:v>745.87074281998321</c:v>
                </c:pt>
                <c:pt idx="829">
                  <c:v>745.87074281998321</c:v>
                </c:pt>
                <c:pt idx="830">
                  <c:v>745.87074281998321</c:v>
                </c:pt>
                <c:pt idx="831">
                  <c:v>745.87074281998321</c:v>
                </c:pt>
                <c:pt idx="832">
                  <c:v>745.87074281998321</c:v>
                </c:pt>
                <c:pt idx="833">
                  <c:v>745.87074281998321</c:v>
                </c:pt>
                <c:pt idx="834">
                  <c:v>745.87074281998321</c:v>
                </c:pt>
                <c:pt idx="835">
                  <c:v>745.87074281998321</c:v>
                </c:pt>
                <c:pt idx="836">
                  <c:v>745.87074281998321</c:v>
                </c:pt>
                <c:pt idx="837">
                  <c:v>745.87074281998321</c:v>
                </c:pt>
                <c:pt idx="838">
                  <c:v>745.87074281998321</c:v>
                </c:pt>
                <c:pt idx="839">
                  <c:v>745.87074281998321</c:v>
                </c:pt>
                <c:pt idx="840">
                  <c:v>745.87074281998321</c:v>
                </c:pt>
                <c:pt idx="841">
                  <c:v>745.87074281998321</c:v>
                </c:pt>
                <c:pt idx="842">
                  <c:v>745.87074281998321</c:v>
                </c:pt>
                <c:pt idx="843">
                  <c:v>745.87074281998321</c:v>
                </c:pt>
                <c:pt idx="844">
                  <c:v>745.87074281998321</c:v>
                </c:pt>
                <c:pt idx="845">
                  <c:v>745.87074281998321</c:v>
                </c:pt>
                <c:pt idx="846">
                  <c:v>745.87074281998321</c:v>
                </c:pt>
                <c:pt idx="847">
                  <c:v>745.87074281998321</c:v>
                </c:pt>
                <c:pt idx="848">
                  <c:v>745.87074281998321</c:v>
                </c:pt>
                <c:pt idx="849">
                  <c:v>745.87074281998321</c:v>
                </c:pt>
                <c:pt idx="850">
                  <c:v>745.87074281998321</c:v>
                </c:pt>
                <c:pt idx="851">
                  <c:v>745.87074281998321</c:v>
                </c:pt>
                <c:pt idx="852">
                  <c:v>745.87074281998321</c:v>
                </c:pt>
                <c:pt idx="853">
                  <c:v>745.87074281998321</c:v>
                </c:pt>
                <c:pt idx="854">
                  <c:v>745.87074281998321</c:v>
                </c:pt>
                <c:pt idx="855">
                  <c:v>745.87074281998321</c:v>
                </c:pt>
                <c:pt idx="856">
                  <c:v>745.87074281998321</c:v>
                </c:pt>
                <c:pt idx="857">
                  <c:v>745.87074281998321</c:v>
                </c:pt>
                <c:pt idx="858">
                  <c:v>745.87074281998321</c:v>
                </c:pt>
                <c:pt idx="859">
                  <c:v>745.87074281998321</c:v>
                </c:pt>
                <c:pt idx="860">
                  <c:v>745.87074281998321</c:v>
                </c:pt>
                <c:pt idx="861">
                  <c:v>745.87074281998321</c:v>
                </c:pt>
                <c:pt idx="862">
                  <c:v>745.87074281998321</c:v>
                </c:pt>
                <c:pt idx="863">
                  <c:v>745.87074281998321</c:v>
                </c:pt>
                <c:pt idx="864">
                  <c:v>745.87074281998321</c:v>
                </c:pt>
                <c:pt idx="865">
                  <c:v>745.87074281998321</c:v>
                </c:pt>
                <c:pt idx="866">
                  <c:v>745.87074281998321</c:v>
                </c:pt>
                <c:pt idx="867">
                  <c:v>745.87074281998321</c:v>
                </c:pt>
                <c:pt idx="868">
                  <c:v>745.87074281998321</c:v>
                </c:pt>
                <c:pt idx="869">
                  <c:v>745.87074281998321</c:v>
                </c:pt>
                <c:pt idx="870">
                  <c:v>745.87074281998321</c:v>
                </c:pt>
                <c:pt idx="871">
                  <c:v>745.87074281998321</c:v>
                </c:pt>
                <c:pt idx="872">
                  <c:v>745.87074281998321</c:v>
                </c:pt>
                <c:pt idx="873">
                  <c:v>745.87074281998321</c:v>
                </c:pt>
                <c:pt idx="874">
                  <c:v>745.87074281998321</c:v>
                </c:pt>
                <c:pt idx="875">
                  <c:v>745.87074281998321</c:v>
                </c:pt>
                <c:pt idx="876">
                  <c:v>745.87074281998321</c:v>
                </c:pt>
                <c:pt idx="877">
                  <c:v>745.87074281998321</c:v>
                </c:pt>
                <c:pt idx="878">
                  <c:v>745.87074281998321</c:v>
                </c:pt>
                <c:pt idx="879">
                  <c:v>745.87074281998321</c:v>
                </c:pt>
                <c:pt idx="880">
                  <c:v>745.87074281998321</c:v>
                </c:pt>
                <c:pt idx="881">
                  <c:v>745.87074281998321</c:v>
                </c:pt>
                <c:pt idx="882">
                  <c:v>745.87074281998321</c:v>
                </c:pt>
                <c:pt idx="883">
                  <c:v>745.87074281998321</c:v>
                </c:pt>
                <c:pt idx="884">
                  <c:v>745.87074281998321</c:v>
                </c:pt>
                <c:pt idx="885">
                  <c:v>745.87074281998321</c:v>
                </c:pt>
                <c:pt idx="886">
                  <c:v>745.87074281998321</c:v>
                </c:pt>
                <c:pt idx="887">
                  <c:v>745.87074281998321</c:v>
                </c:pt>
                <c:pt idx="888">
                  <c:v>745.87074281998321</c:v>
                </c:pt>
                <c:pt idx="889">
                  <c:v>745.87074281998321</c:v>
                </c:pt>
                <c:pt idx="890">
                  <c:v>745.87074281998321</c:v>
                </c:pt>
                <c:pt idx="891">
                  <c:v>745.87074281998321</c:v>
                </c:pt>
                <c:pt idx="892">
                  <c:v>745.87074281998321</c:v>
                </c:pt>
                <c:pt idx="893">
                  <c:v>745.87074281998321</c:v>
                </c:pt>
                <c:pt idx="894">
                  <c:v>745.87074281998321</c:v>
                </c:pt>
                <c:pt idx="895">
                  <c:v>745.87074281998321</c:v>
                </c:pt>
                <c:pt idx="896">
                  <c:v>745.87074281998321</c:v>
                </c:pt>
                <c:pt idx="897">
                  <c:v>745.87074281998321</c:v>
                </c:pt>
                <c:pt idx="898">
                  <c:v>745.87074281998321</c:v>
                </c:pt>
                <c:pt idx="899">
                  <c:v>745.87074281998321</c:v>
                </c:pt>
                <c:pt idx="900">
                  <c:v>745.87074281998321</c:v>
                </c:pt>
                <c:pt idx="901">
                  <c:v>745.87074281998321</c:v>
                </c:pt>
                <c:pt idx="902">
                  <c:v>745.87074281998321</c:v>
                </c:pt>
                <c:pt idx="903">
                  <c:v>745.87074281998321</c:v>
                </c:pt>
                <c:pt idx="904">
                  <c:v>745.87074281998321</c:v>
                </c:pt>
                <c:pt idx="905">
                  <c:v>745.87074281998321</c:v>
                </c:pt>
                <c:pt idx="906">
                  <c:v>745.87074281998321</c:v>
                </c:pt>
                <c:pt idx="907">
                  <c:v>745.87074281998321</c:v>
                </c:pt>
                <c:pt idx="908">
                  <c:v>745.87074281998321</c:v>
                </c:pt>
                <c:pt idx="909">
                  <c:v>745.87074281998321</c:v>
                </c:pt>
                <c:pt idx="910">
                  <c:v>745.87074281998321</c:v>
                </c:pt>
                <c:pt idx="911">
                  <c:v>745.87074281998321</c:v>
                </c:pt>
                <c:pt idx="912">
                  <c:v>745.87074281998321</c:v>
                </c:pt>
                <c:pt idx="913">
                  <c:v>745.87074281998321</c:v>
                </c:pt>
                <c:pt idx="914">
                  <c:v>745.87074281998321</c:v>
                </c:pt>
                <c:pt idx="915">
                  <c:v>745.87074281998321</c:v>
                </c:pt>
                <c:pt idx="916">
                  <c:v>745.87074281998321</c:v>
                </c:pt>
                <c:pt idx="917">
                  <c:v>745.87074281998321</c:v>
                </c:pt>
                <c:pt idx="918">
                  <c:v>745.87074281998321</c:v>
                </c:pt>
                <c:pt idx="919">
                  <c:v>745.87074281998321</c:v>
                </c:pt>
                <c:pt idx="920">
                  <c:v>745.87074281998321</c:v>
                </c:pt>
                <c:pt idx="921">
                  <c:v>745.87074281998321</c:v>
                </c:pt>
                <c:pt idx="922">
                  <c:v>745.87074281998321</c:v>
                </c:pt>
                <c:pt idx="923">
                  <c:v>745.87074281998321</c:v>
                </c:pt>
                <c:pt idx="924">
                  <c:v>745.87074281998321</c:v>
                </c:pt>
                <c:pt idx="925">
                  <c:v>745.87074281998321</c:v>
                </c:pt>
                <c:pt idx="926">
                  <c:v>745.87074281998321</c:v>
                </c:pt>
                <c:pt idx="927">
                  <c:v>745.87074281998321</c:v>
                </c:pt>
                <c:pt idx="928">
                  <c:v>745.87074281998321</c:v>
                </c:pt>
                <c:pt idx="929">
                  <c:v>745.87074281998321</c:v>
                </c:pt>
                <c:pt idx="930">
                  <c:v>745.87074281998321</c:v>
                </c:pt>
                <c:pt idx="931">
                  <c:v>745.87074281998321</c:v>
                </c:pt>
                <c:pt idx="932">
                  <c:v>745.87074281998321</c:v>
                </c:pt>
                <c:pt idx="933">
                  <c:v>745.87074281998321</c:v>
                </c:pt>
                <c:pt idx="934">
                  <c:v>745.87074281998321</c:v>
                </c:pt>
                <c:pt idx="935">
                  <c:v>745.87074281998321</c:v>
                </c:pt>
                <c:pt idx="936">
                  <c:v>745.87074281998321</c:v>
                </c:pt>
                <c:pt idx="937">
                  <c:v>745.87074281998321</c:v>
                </c:pt>
                <c:pt idx="938">
                  <c:v>745.87074281998321</c:v>
                </c:pt>
                <c:pt idx="939">
                  <c:v>745.87074281998321</c:v>
                </c:pt>
                <c:pt idx="940">
                  <c:v>745.87074281998321</c:v>
                </c:pt>
                <c:pt idx="941">
                  <c:v>745.87074281998321</c:v>
                </c:pt>
                <c:pt idx="942">
                  <c:v>745.87074281998321</c:v>
                </c:pt>
                <c:pt idx="943">
                  <c:v>745.87074281998321</c:v>
                </c:pt>
                <c:pt idx="944">
                  <c:v>745.87074281998321</c:v>
                </c:pt>
                <c:pt idx="945">
                  <c:v>745.87074281998321</c:v>
                </c:pt>
                <c:pt idx="946">
                  <c:v>745.87074281998321</c:v>
                </c:pt>
                <c:pt idx="947">
                  <c:v>745.87074281998321</c:v>
                </c:pt>
                <c:pt idx="948">
                  <c:v>745.87074281998321</c:v>
                </c:pt>
                <c:pt idx="949">
                  <c:v>745.87074281998321</c:v>
                </c:pt>
                <c:pt idx="950">
                  <c:v>745.87074281998321</c:v>
                </c:pt>
                <c:pt idx="951">
                  <c:v>745.87074281998321</c:v>
                </c:pt>
                <c:pt idx="952">
                  <c:v>745.87074281998321</c:v>
                </c:pt>
                <c:pt idx="953">
                  <c:v>745.87074281998321</c:v>
                </c:pt>
                <c:pt idx="954">
                  <c:v>745.87074281998321</c:v>
                </c:pt>
                <c:pt idx="955">
                  <c:v>745.87074281998321</c:v>
                </c:pt>
                <c:pt idx="956">
                  <c:v>745.87074281998321</c:v>
                </c:pt>
                <c:pt idx="957">
                  <c:v>745.87074281998321</c:v>
                </c:pt>
                <c:pt idx="958">
                  <c:v>745.87074281998321</c:v>
                </c:pt>
                <c:pt idx="959">
                  <c:v>745.87074281998321</c:v>
                </c:pt>
                <c:pt idx="960">
                  <c:v>745.87074281998321</c:v>
                </c:pt>
                <c:pt idx="961">
                  <c:v>745.87074281998321</c:v>
                </c:pt>
                <c:pt idx="962">
                  <c:v>745.87074281998321</c:v>
                </c:pt>
                <c:pt idx="963">
                  <c:v>745.87074281998321</c:v>
                </c:pt>
                <c:pt idx="964">
                  <c:v>745.87074281998321</c:v>
                </c:pt>
                <c:pt idx="965">
                  <c:v>745.87074281998321</c:v>
                </c:pt>
                <c:pt idx="966">
                  <c:v>745.87074281998321</c:v>
                </c:pt>
                <c:pt idx="967">
                  <c:v>745.87074281998321</c:v>
                </c:pt>
                <c:pt idx="968">
                  <c:v>745.87074281998321</c:v>
                </c:pt>
                <c:pt idx="969">
                  <c:v>745.87074281998321</c:v>
                </c:pt>
                <c:pt idx="970">
                  <c:v>745.87074281998321</c:v>
                </c:pt>
                <c:pt idx="971">
                  <c:v>745.87074281998321</c:v>
                </c:pt>
                <c:pt idx="972">
                  <c:v>745.87074281998321</c:v>
                </c:pt>
                <c:pt idx="973">
                  <c:v>745.87074281998321</c:v>
                </c:pt>
                <c:pt idx="974">
                  <c:v>745.87074281998321</c:v>
                </c:pt>
                <c:pt idx="975">
                  <c:v>745.87074281998321</c:v>
                </c:pt>
                <c:pt idx="976">
                  <c:v>745.87074281998321</c:v>
                </c:pt>
                <c:pt idx="977">
                  <c:v>745.87074281998321</c:v>
                </c:pt>
                <c:pt idx="978">
                  <c:v>745.87074281998321</c:v>
                </c:pt>
                <c:pt idx="979">
                  <c:v>745.87074281998321</c:v>
                </c:pt>
                <c:pt idx="980">
                  <c:v>745.87074281998321</c:v>
                </c:pt>
                <c:pt idx="981">
                  <c:v>745.87074281998321</c:v>
                </c:pt>
                <c:pt idx="982">
                  <c:v>745.87074281998321</c:v>
                </c:pt>
                <c:pt idx="983">
                  <c:v>745.87074281998321</c:v>
                </c:pt>
                <c:pt idx="984">
                  <c:v>745.87074281998321</c:v>
                </c:pt>
                <c:pt idx="985">
                  <c:v>745.87074281998321</c:v>
                </c:pt>
                <c:pt idx="986">
                  <c:v>745.87074281998321</c:v>
                </c:pt>
                <c:pt idx="987">
                  <c:v>745.87074281998321</c:v>
                </c:pt>
                <c:pt idx="988">
                  <c:v>745.87074281998321</c:v>
                </c:pt>
                <c:pt idx="989">
                  <c:v>745.87074281998321</c:v>
                </c:pt>
                <c:pt idx="990">
                  <c:v>745.87074281998321</c:v>
                </c:pt>
                <c:pt idx="991">
                  <c:v>745.87074281998321</c:v>
                </c:pt>
                <c:pt idx="992">
                  <c:v>745.87074281998321</c:v>
                </c:pt>
                <c:pt idx="993">
                  <c:v>745.87074281998321</c:v>
                </c:pt>
                <c:pt idx="994">
                  <c:v>745.87074281998321</c:v>
                </c:pt>
                <c:pt idx="995">
                  <c:v>745.87074281998321</c:v>
                </c:pt>
                <c:pt idx="996">
                  <c:v>745.87074281998321</c:v>
                </c:pt>
                <c:pt idx="997">
                  <c:v>745.87074281998321</c:v>
                </c:pt>
                <c:pt idx="998">
                  <c:v>745.87074281998321</c:v>
                </c:pt>
                <c:pt idx="999">
                  <c:v>745.87074281998321</c:v>
                </c:pt>
                <c:pt idx="1000">
                  <c:v>745.87074281998321</c:v>
                </c:pt>
              </c:numCache>
            </c:numRef>
          </c:xVal>
          <c:yVal>
            <c:numRef>
              <c:f>Calculs!$K$4:$K$1004</c:f>
              <c:numCache>
                <c:formatCode>0.00</c:formatCode>
                <c:ptCount val="1001"/>
                <c:pt idx="0">
                  <c:v>497.16938386972515</c:v>
                </c:pt>
                <c:pt idx="1">
                  <c:v>498.89573959931016</c:v>
                </c:pt>
                <c:pt idx="2">
                  <c:v>500.62273167179706</c:v>
                </c:pt>
                <c:pt idx="3">
                  <c:v>502.35320005311092</c:v>
                </c:pt>
                <c:pt idx="4">
                  <c:v>504.08765724446886</c:v>
                </c:pt>
                <c:pt idx="5">
                  <c:v>505.82560681945085</c:v>
                </c:pt>
                <c:pt idx="6">
                  <c:v>507.56685996383527</c:v>
                </c:pt>
                <c:pt idx="7">
                  <c:v>509.31138158541756</c:v>
                </c:pt>
                <c:pt idx="8">
                  <c:v>511.05913664583966</c:v>
                </c:pt>
                <c:pt idx="9">
                  <c:v>512.81009016116366</c:v>
                </c:pt>
                <c:pt idx="10">
                  <c:v>514.56420720243705</c:v>
                </c:pt>
                <c:pt idx="11">
                  <c:v>516.32145289624896</c:v>
                </c:pt>
                <c:pt idx="12">
                  <c:v>518.08179242527808</c:v>
                </c:pt>
                <c:pt idx="13">
                  <c:v>519.84519102883144</c:v>
                </c:pt>
                <c:pt idx="14">
                  <c:v>521.61161400337528</c:v>
                </c:pt>
                <c:pt idx="15">
                  <c:v>523.38102670305636</c:v>
                </c:pt>
                <c:pt idx="16">
                  <c:v>525.1533945402158</c:v>
                </c:pt>
                <c:pt idx="17">
                  <c:v>526.92868298589349</c:v>
                </c:pt>
                <c:pt idx="18">
                  <c:v>528.70685757032436</c:v>
                </c:pt>
                <c:pt idx="19">
                  <c:v>530.48788388342643</c:v>
                </c:pt>
                <c:pt idx="20">
                  <c:v>532.27172757527978</c:v>
                </c:pt>
                <c:pt idx="21">
                  <c:v>534.05835435659776</c:v>
                </c:pt>
                <c:pt idx="22">
                  <c:v>535.84772999918926</c:v>
                </c:pt>
                <c:pt idx="23">
                  <c:v>537.63982033641309</c:v>
                </c:pt>
                <c:pt idx="24">
                  <c:v>539.43459126362404</c:v>
                </c:pt>
                <c:pt idx="25">
                  <c:v>541.23200873860992</c:v>
                </c:pt>
                <c:pt idx="26">
                  <c:v>543.03203878202157</c:v>
                </c:pt>
                <c:pt idx="27">
                  <c:v>544.83464747779362</c:v>
                </c:pt>
                <c:pt idx="28">
                  <c:v>546.63980097355761</c:v>
                </c:pt>
                <c:pt idx="29">
                  <c:v>548.44746548104706</c:v>
                </c:pt>
                <c:pt idx="30">
                  <c:v>550.2576072764939</c:v>
                </c:pt>
                <c:pt idx="31">
                  <c:v>552.07019270101739</c:v>
                </c:pt>
                <c:pt idx="32">
                  <c:v>553.88518816100498</c:v>
                </c:pt>
                <c:pt idx="33">
                  <c:v>555.70256012848495</c:v>
                </c:pt>
                <c:pt idx="34">
                  <c:v>557.52227514149126</c:v>
                </c:pt>
                <c:pt idx="35">
                  <c:v>559.34429980442042</c:v>
                </c:pt>
                <c:pt idx="36">
                  <c:v>561.16860078838067</c:v>
                </c:pt>
                <c:pt idx="37">
                  <c:v>562.99514483153337</c:v>
                </c:pt>
                <c:pt idx="38">
                  <c:v>564.82389873942645</c:v>
                </c:pt>
                <c:pt idx="39">
                  <c:v>566.65482938532023</c:v>
                </c:pt>
                <c:pt idx="40">
                  <c:v>568.48790371050552</c:v>
                </c:pt>
                <c:pt idx="41">
                  <c:v>570.32308872461442</c:v>
                </c:pt>
                <c:pt idx="42">
                  <c:v>572.1603515059229</c:v>
                </c:pt>
                <c:pt idx="43">
                  <c:v>573.99965920164652</c:v>
                </c:pt>
                <c:pt idx="44">
                  <c:v>575.84097902822828</c:v>
                </c:pt>
                <c:pt idx="45">
                  <c:v>577.68427827161906</c:v>
                </c:pt>
                <c:pt idx="46">
                  <c:v>579.52952428755066</c:v>
                </c:pt>
                <c:pt idx="47">
                  <c:v>581.37668450180161</c:v>
                </c:pt>
                <c:pt idx="48">
                  <c:v>583.22572641045554</c:v>
                </c:pt>
                <c:pt idx="49">
                  <c:v>585.07661758015252</c:v>
                </c:pt>
                <c:pt idx="50">
                  <c:v>586.92932564833291</c:v>
                </c:pt>
                <c:pt idx="51">
                  <c:v>588.78381832347418</c:v>
                </c:pt>
                <c:pt idx="52">
                  <c:v>590.64006338532056</c:v>
                </c:pt>
                <c:pt idx="53">
                  <c:v>592.49802868510585</c:v>
                </c:pt>
                <c:pt idx="54">
                  <c:v>594.35768214576876</c:v>
                </c:pt>
                <c:pt idx="55">
                  <c:v>596.21899176216198</c:v>
                </c:pt>
                <c:pt idx="56">
                  <c:v>598.08192560125349</c:v>
                </c:pt>
                <c:pt idx="57">
                  <c:v>599.94645180232192</c:v>
                </c:pt>
                <c:pt idx="58">
                  <c:v>601.81253857714432</c:v>
                </c:pt>
                <c:pt idx="59">
                  <c:v>603.68015421017753</c:v>
                </c:pt>
                <c:pt idx="60">
                  <c:v>605.54926705873288</c:v>
                </c:pt>
                <c:pt idx="61">
                  <c:v>607.41984555314411</c:v>
                </c:pt>
                <c:pt idx="62">
                  <c:v>609.29185819692862</c:v>
                </c:pt>
                <c:pt idx="63">
                  <c:v>611.16526021641982</c:v>
                </c:pt>
                <c:pt idx="64">
                  <c:v>613.03998023910196</c:v>
                </c:pt>
                <c:pt idx="65">
                  <c:v>614.91593370879411</c:v>
                </c:pt>
                <c:pt idx="66">
                  <c:v>616.79303627257457</c:v>
                </c:pt>
                <c:pt idx="67">
                  <c:v>618.67119154378247</c:v>
                </c:pt>
                <c:pt idx="68">
                  <c:v>620.55027889256962</c:v>
                </c:pt>
                <c:pt idx="69">
                  <c:v>622.43014398025457</c:v>
                </c:pt>
                <c:pt idx="70">
                  <c:v>624.3105893178938</c:v>
                </c:pt>
                <c:pt idx="71">
                  <c:v>626.19139614741255</c:v>
                </c:pt>
                <c:pt idx="72">
                  <c:v>628.07234627371463</c:v>
                </c:pt>
                <c:pt idx="73">
                  <c:v>629.95322207108086</c:v>
                </c:pt>
                <c:pt idx="74">
                  <c:v>631.83380648928471</c:v>
                </c:pt>
                <c:pt idx="75">
                  <c:v>633.71388305942742</c:v>
                </c:pt>
                <c:pt idx="76">
                  <c:v>635.5932358994944</c:v>
                </c:pt>
                <c:pt idx="77">
                  <c:v>637.47164971963605</c:v>
                </c:pt>
                <c:pt idx="78">
                  <c:v>639.34890982717468</c:v>
                </c:pt>
                <c:pt idx="79">
                  <c:v>641.22480213134043</c:v>
                </c:pt>
                <c:pt idx="80">
                  <c:v>643.09911314773831</c:v>
                </c:pt>
                <c:pt idx="81">
                  <c:v>644.9716558907736</c:v>
                </c:pt>
                <c:pt idx="82">
                  <c:v>646.84229569084152</c:v>
                </c:pt>
                <c:pt idx="83">
                  <c:v>648.71092415512294</c:v>
                </c:pt>
                <c:pt idx="84">
                  <c:v>650.57743320143447</c:v>
                </c:pt>
                <c:pt idx="85">
                  <c:v>652.44171505816939</c:v>
                </c:pt>
                <c:pt idx="86">
                  <c:v>654.30366226417652</c:v>
                </c:pt>
                <c:pt idx="87">
                  <c:v>656.16316766858006</c:v>
                </c:pt>
                <c:pt idx="88">
                  <c:v>658.020124430539</c:v>
                </c:pt>
                <c:pt idx="89">
                  <c:v>659.8744341973246</c:v>
                </c:pt>
                <c:pt idx="90">
                  <c:v>661.72601525758</c:v>
                </c:pt>
                <c:pt idx="91">
                  <c:v>663.57479431251056</c:v>
                </c:pt>
                <c:pt idx="92">
                  <c:v>665.42069827167882</c:v>
                </c:pt>
                <c:pt idx="93">
                  <c:v>667.26365629703207</c:v>
                </c:pt>
                <c:pt idx="94">
                  <c:v>669.10360184063438</c:v>
                </c:pt>
                <c:pt idx="95">
                  <c:v>670.9404705865926</c:v>
                </c:pt>
                <c:pt idx="96">
                  <c:v>672.77419839923891</c:v>
                </c:pt>
                <c:pt idx="97">
                  <c:v>674.6047295013326</c:v>
                </c:pt>
                <c:pt idx="98">
                  <c:v>676.43202462690215</c:v>
                </c:pt>
                <c:pt idx="99">
                  <c:v>678.25605279092724</c:v>
                </c:pt>
                <c:pt idx="100">
                  <c:v>680.07678308450363</c:v>
                </c:pt>
                <c:pt idx="101">
                  <c:v>681.89418467431676</c:v>
                </c:pt>
                <c:pt idx="102">
                  <c:v>683.70822680211359</c:v>
                </c:pt>
                <c:pt idx="103">
                  <c:v>685.51887878417324</c:v>
                </c:pt>
                <c:pt idx="104">
                  <c:v>687.32611001077612</c:v>
                </c:pt>
                <c:pt idx="105">
                  <c:v>689.12988994567115</c:v>
                </c:pt>
                <c:pt idx="106">
                  <c:v>690.93018812554192</c:v>
                </c:pt>
                <c:pt idx="107">
                  <c:v>692.72697415947118</c:v>
                </c:pt>
                <c:pt idx="108">
                  <c:v>694.52021772840419</c:v>
                </c:pt>
                <c:pt idx="109">
                  <c:v>696.30989880621405</c:v>
                </c:pt>
                <c:pt idx="110">
                  <c:v>698.09601784895585</c:v>
                </c:pt>
                <c:pt idx="111">
                  <c:v>699.87858550997441</c:v>
                </c:pt>
                <c:pt idx="112">
                  <c:v>701.6576123872843</c:v>
                </c:pt>
                <c:pt idx="113">
                  <c:v>703.43310902395137</c:v>
                </c:pt>
                <c:pt idx="114">
                  <c:v>705.20508590847032</c:v>
                </c:pt>
                <c:pt idx="115">
                  <c:v>706.97355347513962</c:v>
                </c:pt>
                <c:pt idx="116">
                  <c:v>708.73852210443295</c:v>
                </c:pt>
                <c:pt idx="117">
                  <c:v>710.50000212336715</c:v>
                </c:pt>
                <c:pt idx="118">
                  <c:v>712.25800380586782</c:v>
                </c:pt>
                <c:pt idx="119">
                  <c:v>714.01253737313061</c:v>
                </c:pt>
                <c:pt idx="120">
                  <c:v>715.7636129939807</c:v>
                </c:pt>
                <c:pt idx="121">
                  <c:v>717.5112407852281</c:v>
                </c:pt>
                <c:pt idx="122">
                  <c:v>719.25543081202034</c:v>
                </c:pt>
                <c:pt idx="123">
                  <c:v>720.99619308819263</c:v>
                </c:pt>
                <c:pt idx="124">
                  <c:v>722.73353757661425</c:v>
                </c:pt>
                <c:pt idx="125">
                  <c:v>724.46747418953225</c:v>
                </c:pt>
                <c:pt idx="126">
                  <c:v>726.19801278891248</c:v>
                </c:pt>
                <c:pt idx="127">
                  <c:v>727.92516318677758</c:v>
                </c:pt>
                <c:pt idx="128">
                  <c:v>729.64893514554217</c:v>
                </c:pt>
                <c:pt idx="129">
                  <c:v>731.36933837834488</c:v>
                </c:pt>
                <c:pt idx="130">
                  <c:v>733.08638254937807</c:v>
                </c:pt>
                <c:pt idx="131">
                  <c:v>734.80007727421435</c:v>
                </c:pt>
                <c:pt idx="132">
                  <c:v>736.51043212013087</c:v>
                </c:pt>
                <c:pt idx="133">
                  <c:v>738.21745660643023</c:v>
                </c:pt>
                <c:pt idx="134">
                  <c:v>739.92116020475919</c:v>
                </c:pt>
                <c:pt idx="135">
                  <c:v>741.62155233942462</c:v>
                </c:pt>
                <c:pt idx="136">
                  <c:v>743.31864238770663</c:v>
                </c:pt>
                <c:pt idx="137">
                  <c:v>745.01243968016945</c:v>
                </c:pt>
                <c:pt idx="138">
                  <c:v>746.70295350096933</c:v>
                </c:pt>
                <c:pt idx="139">
                  <c:v>748.39019308816012</c:v>
                </c:pt>
                <c:pt idx="140">
                  <c:v>750.07416763399613</c:v>
                </c:pt>
                <c:pt idx="141">
                  <c:v>751.75488628523283</c:v>
                </c:pt>
                <c:pt idx="142">
                  <c:v>753.43235814342472</c:v>
                </c:pt>
                <c:pt idx="143">
                  <c:v>755.10659226522091</c:v>
                </c:pt>
                <c:pt idx="144">
                  <c:v>756.77759766265831</c:v>
                </c:pt>
                <c:pt idx="145">
                  <c:v>758.44538330345199</c:v>
                </c:pt>
                <c:pt idx="146">
                  <c:v>760.10995811128396</c:v>
                </c:pt>
                <c:pt idx="147">
                  <c:v>761.77133096608884</c:v>
                </c:pt>
                <c:pt idx="148">
                  <c:v>763.42951070433753</c:v>
                </c:pt>
                <c:pt idx="149">
                  <c:v>765.08450611931846</c:v>
                </c:pt>
                <c:pt idx="150">
                  <c:v>766.73632596141681</c:v>
                </c:pt>
                <c:pt idx="151">
                  <c:v>768.38497893839099</c:v>
                </c:pt>
                <c:pt idx="152">
                  <c:v>770.0304737156473</c:v>
                </c:pt>
                <c:pt idx="153">
                  <c:v>771.67281891651214</c:v>
                </c:pt>
                <c:pt idx="154">
                  <c:v>773.31202312250218</c:v>
                </c:pt>
                <c:pt idx="155">
                  <c:v>774.94809487359191</c:v>
                </c:pt>
                <c:pt idx="156">
                  <c:v>776.58104266847965</c:v>
                </c:pt>
                <c:pt idx="157">
                  <c:v>778.2108749648512</c:v>
                </c:pt>
                <c:pt idx="158">
                  <c:v>779.83760017964096</c:v>
                </c:pt>
                <c:pt idx="159">
                  <c:v>781.46122668929161</c:v>
                </c:pt>
                <c:pt idx="160">
                  <c:v>783.08176283001126</c:v>
                </c:pt>
                <c:pt idx="161">
                  <c:v>784.69921689802857</c:v>
                </c:pt>
                <c:pt idx="162">
                  <c:v>786.31359714984615</c:v>
                </c:pt>
                <c:pt idx="163">
                  <c:v>787.92491180249147</c:v>
                </c:pt>
                <c:pt idx="164">
                  <c:v>789.53316903376628</c:v>
                </c:pt>
                <c:pt idx="165">
                  <c:v>791.13837698249358</c:v>
                </c:pt>
                <c:pt idx="166">
                  <c:v>792.74054374876289</c:v>
                </c:pt>
                <c:pt idx="167">
                  <c:v>794.33967739417358</c:v>
                </c:pt>
                <c:pt idx="168">
                  <c:v>795.93578594207611</c:v>
                </c:pt>
                <c:pt idx="169">
                  <c:v>797.52887737781168</c:v>
                </c:pt>
                <c:pt idx="170">
                  <c:v>799.11895964894961</c:v>
                </c:pt>
                <c:pt idx="171">
                  <c:v>800.70604066552289</c:v>
                </c:pt>
                <c:pt idx="172">
                  <c:v>802.29012830026238</c:v>
                </c:pt>
                <c:pt idx="173">
                  <c:v>803.87123038882839</c:v>
                </c:pt>
                <c:pt idx="174">
                  <c:v>805.44935473004125</c:v>
                </c:pt>
                <c:pt idx="175">
                  <c:v>807.02450908610933</c:v>
                </c:pt>
                <c:pt idx="176">
                  <c:v>808.5967011828559</c:v>
                </c:pt>
                <c:pt idx="177">
                  <c:v>810.1659387099437</c:v>
                </c:pt>
                <c:pt idx="178">
                  <c:v>811.73222932109832</c:v>
                </c:pt>
                <c:pt idx="179">
                  <c:v>813.29558063432921</c:v>
                </c:pt>
                <c:pt idx="180">
                  <c:v>814.85600023214954</c:v>
                </c:pt>
                <c:pt idx="181">
                  <c:v>816.41349566179395</c:v>
                </c:pt>
                <c:pt idx="182">
                  <c:v>817.96807443543491</c:v>
                </c:pt>
                <c:pt idx="183">
                  <c:v>819.51974403039719</c:v>
                </c:pt>
                <c:pt idx="184">
                  <c:v>821.06851188937071</c:v>
                </c:pt>
                <c:pt idx="185">
                  <c:v>822.61438542062194</c:v>
                </c:pt>
                <c:pt idx="186">
                  <c:v>824.15737199820353</c:v>
                </c:pt>
                <c:pt idx="187">
                  <c:v>825.69747896216211</c:v>
                </c:pt>
                <c:pt idx="188">
                  <c:v>827.23471361874499</c:v>
                </c:pt>
                <c:pt idx="189">
                  <c:v>828.76908324060491</c:v>
                </c:pt>
                <c:pt idx="190">
                  <c:v>830.30059506700343</c:v>
                </c:pt>
                <c:pt idx="191">
                  <c:v>831.82925630401223</c:v>
                </c:pt>
                <c:pt idx="192">
                  <c:v>833.35507412471395</c:v>
                </c:pt>
                <c:pt idx="193">
                  <c:v>834.87805566940051</c:v>
                </c:pt>
                <c:pt idx="194">
                  <c:v>836.39820804577016</c:v>
                </c:pt>
                <c:pt idx="195">
                  <c:v>837.91553832912325</c:v>
                </c:pt>
                <c:pt idx="196">
                  <c:v>839.43005356255674</c:v>
                </c:pt>
                <c:pt idx="197">
                  <c:v>840.94176075715643</c:v>
                </c:pt>
                <c:pt idx="198">
                  <c:v>842.45066689218856</c:v>
                </c:pt>
                <c:pt idx="199">
                  <c:v>843.95677891528931</c:v>
                </c:pt>
                <c:pt idx="200">
                  <c:v>845.46010374265359</c:v>
                </c:pt>
                <c:pt idx="201">
                  <c:v>860.34058948310269</c:v>
                </c:pt>
                <c:pt idx="202">
                  <c:v>874.94677406198548</c:v>
                </c:pt>
                <c:pt idx="203">
                  <c:v>889.28528057435142</c:v>
                </c:pt>
                <c:pt idx="204">
                  <c:v>903.36244111234146</c:v>
                </c:pt>
                <c:pt idx="205">
                  <c:v>917.18431336203446</c:v>
                </c:pt>
                <c:pt idx="206">
                  <c:v>930.75669601764514</c:v>
                </c:pt>
                <c:pt idx="207">
                  <c:v>944.08514311313081</c:v>
                </c:pt>
                <c:pt idx="208">
                  <c:v>957.17497736148778</c:v>
                </c:pt>
                <c:pt idx="209">
                  <c:v>970.03130258331862</c:v>
                </c:pt>
                <c:pt idx="210">
                  <c:v>982.65901529849975</c:v>
                </c:pt>
                <c:pt idx="211">
                  <c:v>995.06281554786165</c:v>
                </c:pt>
                <c:pt idx="212">
                  <c:v>1007.2472170056067</c:v>
                </c:pt>
                <c:pt idx="213">
                  <c:v>1019.2165564376544</c:v>
                </c:pt>
                <c:pt idx="214">
                  <c:v>1030.9750025561332</c:v>
                </c:pt>
                <c:pt idx="215">
                  <c:v>1042.5265643157777</c:v>
                </c:pt>
                <c:pt idx="216">
                  <c:v>1053.8750986939813</c:v>
                </c:pt>
                <c:pt idx="217">
                  <c:v>1065.0243179926308</c:v>
                </c:pt>
                <c:pt idx="218">
                  <c:v>1075.9777966966003</c:v>
                </c:pt>
                <c:pt idx="219">
                  <c:v>1086.7389779208268</c:v>
                </c:pt>
                <c:pt idx="220">
                  <c:v>1097.3111794752342</c:v>
                </c:pt>
                <c:pt idx="221">
                  <c:v>1107.6975995743564</c:v>
                </c:pt>
                <c:pt idx="222">
                  <c:v>1117.9013222163239</c:v>
                </c:pt>
                <c:pt idx="223">
                  <c:v>1127.9253222538971</c:v>
                </c:pt>
                <c:pt idx="224">
                  <c:v>1137.7724701784193</c:v>
                </c:pt>
                <c:pt idx="225">
                  <c:v>1147.4455366359275</c:v>
                </c:pt>
                <c:pt idx="226">
                  <c:v>1156.9471966931587</c:v>
                </c:pt>
                <c:pt idx="227">
                  <c:v>1166.2800338698287</c:v>
                </c:pt>
                <c:pt idx="228">
                  <c:v>1175.4465439523137</c:v>
                </c:pt>
                <c:pt idx="229">
                  <c:v>1184.4491386027316</c:v>
                </c:pt>
                <c:pt idx="230">
                  <c:v>1193.2901487763725</c:v>
                </c:pt>
                <c:pt idx="231">
                  <c:v>1201.9718279594815</c:v>
                </c:pt>
                <c:pt idx="232">
                  <c:v>1210.4963552385216</c:v>
                </c:pt>
                <c:pt idx="233">
                  <c:v>1218.8658382112392</c:v>
                </c:pt>
                <c:pt idx="234">
                  <c:v>1227.0823157491263</c:v>
                </c:pt>
                <c:pt idx="235">
                  <c:v>1235.1477606201915</c:v>
                </c:pt>
                <c:pt idx="236">
                  <c:v>1243.0640819803316</c:v>
                </c:pt>
                <c:pt idx="237">
                  <c:v>1250.8331277410227</c:v>
                </c:pt>
                <c:pt idx="238">
                  <c:v>1258.4566868205245</c:v>
                </c:pt>
                <c:pt idx="239">
                  <c:v>1265.9364912852984</c:v>
                </c:pt>
                <c:pt idx="240">
                  <c:v>1273.2742183878981</c:v>
                </c:pt>
                <c:pt idx="241">
                  <c:v>1280.4714925071723</c:v>
                </c:pt>
                <c:pt idx="242">
                  <c:v>1287.5298869962357</c:v>
                </c:pt>
                <c:pt idx="243">
                  <c:v>1294.4509259433123</c:v>
                </c:pt>
                <c:pt idx="244">
                  <c:v>1301.2360858502236</c:v>
                </c:pt>
                <c:pt idx="245">
                  <c:v>1307.886797232994</c:v>
                </c:pt>
                <c:pt idx="246">
                  <c:v>1314.4044461487588</c:v>
                </c:pt>
                <c:pt idx="247">
                  <c:v>1320.7903756529063</c:v>
                </c:pt>
                <c:pt idx="248">
                  <c:v>1327.0458871901365</c:v>
                </c:pt>
                <c:pt idx="249">
                  <c:v>1333.172241922897</c:v>
                </c:pt>
                <c:pt idx="250">
                  <c:v>1339.1706620004506</c:v>
                </c:pt>
                <c:pt idx="251">
                  <c:v>1345.04233177163</c:v>
                </c:pt>
                <c:pt idx="252">
                  <c:v>1350.7883989441607</c:v>
                </c:pt>
                <c:pt idx="253">
                  <c:v>1356.4099756932626</c:v>
                </c:pt>
                <c:pt idx="254">
                  <c:v>1361.9081397220871</c:v>
                </c:pt>
                <c:pt idx="255">
                  <c:v>1367.2839352764031</c:v>
                </c:pt>
                <c:pt idx="256">
                  <c:v>1372.5383741158123</c:v>
                </c:pt>
                <c:pt idx="257">
                  <c:v>1377.6724364436477</c:v>
                </c:pt>
                <c:pt idx="258">
                  <c:v>1382.6870717975996</c:v>
                </c:pt>
                <c:pt idx="259">
                  <c:v>1387.5831999030042</c:v>
                </c:pt>
                <c:pt idx="260">
                  <c:v>1392.3617114906324</c:v>
                </c:pt>
                <c:pt idx="261">
                  <c:v>1397.0234690807297</c:v>
                </c:pt>
                <c:pt idx="262">
                  <c:v>1401.5693077349738</c:v>
                </c:pt>
                <c:pt idx="263">
                  <c:v>1406.0000357779422</c:v>
                </c:pt>
                <c:pt idx="264">
                  <c:v>1410.3164354896151</c:v>
                </c:pt>
                <c:pt idx="265">
                  <c:v>1414.5192637703781</c:v>
                </c:pt>
                <c:pt idx="266">
                  <c:v>1418.6092527799356</c:v>
                </c:pt>
                <c:pt idx="267">
                  <c:v>1422.5871105514993</c:v>
                </c:pt>
                <c:pt idx="268">
                  <c:v>1426.4535215825749</c:v>
                </c:pt>
                <c:pt idx="269">
                  <c:v>1430.2091474036406</c:v>
                </c:pt>
                <c:pt idx="270">
                  <c:v>1433.8546271259822</c:v>
                </c:pt>
                <c:pt idx="271">
                  <c:v>1437.3905779699351</c:v>
                </c:pt>
                <c:pt idx="272">
                  <c:v>1440.8175957747701</c:v>
                </c:pt>
                <c:pt idx="273">
                  <c:v>1444.1362554914645</c:v>
                </c:pt>
                <c:pt idx="274">
                  <c:v>1447.3471116596004</c:v>
                </c:pt>
                <c:pt idx="275">
                  <c:v>1450.4506988696583</c:v>
                </c:pt>
                <c:pt idx="276">
                  <c:v>1453.4475322119943</c:v>
                </c:pt>
                <c:pt idx="277">
                  <c:v>1456.3381077138356</c:v>
                </c:pt>
                <c:pt idx="278">
                  <c:v>1459.1229027656755</c:v>
                </c:pt>
                <c:pt idx="279">
                  <c:v>1461.8023765385194</c:v>
                </c:pt>
                <c:pt idx="280">
                  <c:v>1464.3769703935079</c:v>
                </c:pt>
                <c:pt idx="281">
                  <c:v>1466.8471082855417</c:v>
                </c:pt>
                <c:pt idx="282">
                  <c:v>1469.2131971626427</c:v>
                </c:pt>
                <c:pt idx="283">
                  <c:v>1471.4756273629116</c:v>
                </c:pt>
                <c:pt idx="284">
                  <c:v>1473.6347730110911</c:v>
                </c:pt>
                <c:pt idx="285">
                  <c:v>1475.690992416899</c:v>
                </c:pt>
                <c:pt idx="286">
                  <c:v>1477.6446284774804</c:v>
                </c:pt>
                <c:pt idx="287">
                  <c:v>1479.4960090865077</c:v>
                </c:pt>
                <c:pt idx="288">
                  <c:v>1481.2454475526677</c:v>
                </c:pt>
                <c:pt idx="289">
                  <c:v>1482.8932430304676</c:v>
                </c:pt>
                <c:pt idx="290">
                  <c:v>1484.4396809664947</c:v>
                </c:pt>
                <c:pt idx="291">
                  <c:v>1485.8850335644427</c:v>
                </c:pt>
                <c:pt idx="292">
                  <c:v>1487.2295602723659</c:v>
                </c:pt>
                <c:pt idx="293">
                  <c:v>1488.4735082957209</c:v>
                </c:pt>
                <c:pt idx="294">
                  <c:v>1489.6171131397746</c:v>
                </c:pt>
                <c:pt idx="295">
                  <c:v>1490.660599184883</c:v>
                </c:pt>
                <c:pt idx="296">
                  <c:v>1491.6041802979344</c:v>
                </c:pt>
                <c:pt idx="297">
                  <c:v>1492.4480604828766</c:v>
                </c:pt>
                <c:pt idx="298">
                  <c:v>1493.1924345726979</c:v>
                </c:pt>
                <c:pt idx="299">
                  <c:v>1493.8374889644558</c:v>
                </c:pt>
                <c:pt idx="300">
                  <c:v>1494.3834023979637</c:v>
                </c:pt>
                <c:pt idx="301">
                  <c:v>1494.8303467775438</c:v>
                </c:pt>
                <c:pt idx="302">
                  <c:v>1495.1784880348675</c:v>
                </c:pt>
                <c:pt idx="303">
                  <c:v>1495.4279870293822</c:v>
                </c:pt>
                <c:pt idx="304">
                  <c:v>1495.579000481247</c:v>
                </c:pt>
                <c:pt idx="305">
                  <c:v>1495.6316819301612</c:v>
                </c:pt>
                <c:pt idx="306">
                  <c:v>1495.5861827120787</c:v>
                </c:pt>
                <c:pt idx="307">
                  <c:v>1495.4426529446762</c:v>
                </c:pt>
                <c:pt idx="308">
                  <c:v>1495.2012425116748</c:v>
                </c:pt>
                <c:pt idx="309">
                  <c:v>1494.8621020357705</c:v>
                </c:pt>
                <c:pt idx="310">
                  <c:v>1494.4253838300574</c:v>
                </c:pt>
                <c:pt idx="311">
                  <c:v>1493.8912428183949</c:v>
                </c:pt>
                <c:pt idx="312">
                  <c:v>1493.2598374161428</c:v>
                </c:pt>
                <c:pt idx="313">
                  <c:v>1492.5313303639764</c:v>
                </c:pt>
                <c:pt idx="314">
                  <c:v>1491.7058895089804</c:v>
                </c:pt>
                <c:pt idx="315">
                  <c:v>1490.7836885288059</c:v>
                </c:pt>
                <c:pt idx="316">
                  <c:v>1489.7649075962474</c:v>
                </c:pt>
                <c:pt idx="317">
                  <c:v>1488.6497339830596</c:v>
                </c:pt>
                <c:pt idx="318">
                  <c:v>1487.4383626031372</c:v>
                </c:pt>
                <c:pt idx="319">
                  <c:v>1486.1309964962697</c:v>
                </c:pt>
                <c:pt idx="320">
                  <c:v>1484.7278472545513</c:v>
                </c:pt>
                <c:pt idx="321">
                  <c:v>1483.2291353941666</c:v>
                </c:pt>
                <c:pt idx="322">
                  <c:v>1481.6350906757191</c:v>
                </c:pt>
                <c:pt idx="323">
                  <c:v>1479.9459523765213</c:v>
                </c:pt>
                <c:pt idx="324">
                  <c:v>1478.1619695183888</c:v>
                </c:pt>
                <c:pt idx="325">
                  <c:v>1476.2834010544673</c:v>
                </c:pt>
                <c:pt idx="326">
                  <c:v>1474.3105160185323</c:v>
                </c:pt>
                <c:pt idx="327">
                  <c:v>1472.2435936400507</c:v>
                </c:pt>
                <c:pt idx="328">
                  <c:v>1470.0829234280875</c:v>
                </c:pt>
                <c:pt idx="329">
                  <c:v>1467.8288052269343</c:v>
                </c:pt>
                <c:pt idx="330">
                  <c:v>1465.4815492460955</c:v>
                </c:pt>
                <c:pt idx="331">
                  <c:v>1463.0414760670474</c:v>
                </c:pt>
                <c:pt idx="332">
                  <c:v>1460.5089166289581</c:v>
                </c:pt>
                <c:pt idx="333">
                  <c:v>1457.8842121953503</c:v>
                </c:pt>
                <c:pt idx="334">
                  <c:v>1455.1677143034869</c:v>
                </c:pt>
                <c:pt idx="335">
                  <c:v>1452.359784698087</c:v>
                </c:pt>
                <c:pt idx="336">
                  <c:v>1449.4607952508086</c:v>
                </c:pt>
                <c:pt idx="337">
                  <c:v>1446.4711278667953</c:v>
                </c:pt>
                <c:pt idx="338">
                  <c:v>1443.3911743794451</c:v>
                </c:pt>
                <c:pt idx="339">
                  <c:v>1440.2213364344457</c:v>
                </c:pt>
                <c:pt idx="340">
                  <c:v>1436.9620253640176</c:v>
                </c:pt>
                <c:pt idx="341">
                  <c:v>1433.6136620522122</c:v>
                </c:pt>
                <c:pt idx="342">
                  <c:v>1430.176676792034</c:v>
                </c:pt>
                <c:pt idx="343">
                  <c:v>1426.6515091350793</c:v>
                </c:pt>
                <c:pt idx="344">
                  <c:v>1423.0386077343308</c:v>
                </c:pt>
                <c:pt idx="345">
                  <c:v>1419.3384301806809</c:v>
                </c:pt>
                <c:pt idx="346">
                  <c:v>1415.5514428337206</c:v>
                </c:pt>
                <c:pt idx="347">
                  <c:v>1411.6781206472765</c:v>
                </c:pt>
                <c:pt idx="348">
                  <c:v>1407.7189469901525</c:v>
                </c:pt>
                <c:pt idx="349">
                  <c:v>1403.6744134624894</c:v>
                </c:pt>
                <c:pt idx="350">
                  <c:v>1399.5450197081373</c:v>
                </c:pt>
                <c:pt idx="351">
                  <c:v>1395.3312732234001</c:v>
                </c:pt>
                <c:pt idx="352">
                  <c:v>1391.0336891624979</c:v>
                </c:pt>
                <c:pt idx="353">
                  <c:v>1386.652790140065</c:v>
                </c:pt>
                <c:pt idx="354">
                  <c:v>1382.1891060309893</c:v>
                </c:pt>
                <c:pt idx="355">
                  <c:v>1377.6431737678802</c:v>
                </c:pt>
                <c:pt idx="356">
                  <c:v>1373.0155371364376</c:v>
                </c:pt>
                <c:pt idx="357">
                  <c:v>1368.3067465689817</c:v>
                </c:pt>
                <c:pt idx="358">
                  <c:v>1363.5173589363935</c:v>
                </c:pt>
                <c:pt idx="359">
                  <c:v>1358.6479373387012</c:v>
                </c:pt>
                <c:pt idx="360">
                  <c:v>1353.6990508945419</c:v>
                </c:pt>
                <c:pt idx="361">
                  <c:v>1348.6712745297152</c:v>
                </c:pt>
                <c:pt idx="362">
                  <c:v>1343.5651887650415</c:v>
                </c:pt>
                <c:pt idx="363">
                  <c:v>1338.3813795037227</c:v>
                </c:pt>
                <c:pt idx="364">
                  <c:v>1333.1204378184036</c:v>
                </c:pt>
                <c:pt idx="365">
                  <c:v>1327.7829597381199</c:v>
                </c:pt>
                <c:pt idx="366">
                  <c:v>1322.3695460353131</c:v>
                </c:pt>
                <c:pt idx="367">
                  <c:v>1316.8808020130878</c:v>
                </c:pt>
                <c:pt idx="368">
                  <c:v>1311.3173372928791</c:v>
                </c:pt>
                <c:pt idx="369">
                  <c:v>1305.679765602692</c:v>
                </c:pt>
                <c:pt idx="370">
                  <c:v>1299.9687045660703</c:v>
                </c:pt>
                <c:pt idx="371">
                  <c:v>1294.1847754919459</c:v>
                </c:pt>
                <c:pt idx="372">
                  <c:v>1288.3286031655127</c:v>
                </c:pt>
                <c:pt idx="373">
                  <c:v>1282.4008156402683</c:v>
                </c:pt>
                <c:pt idx="374">
                  <c:v>1276.4020440313552</c:v>
                </c:pt>
                <c:pt idx="375">
                  <c:v>1270.3329223103353</c:v>
                </c:pt>
                <c:pt idx="376">
                  <c:v>1264.194087101519</c:v>
                </c:pt>
                <c:pt idx="377">
                  <c:v>1257.9861774799717</c:v>
                </c:pt>
                <c:pt idx="378">
                  <c:v>1251.7098347713118</c:v>
                </c:pt>
                <c:pt idx="379">
                  <c:v>1245.3657023534106</c:v>
                </c:pt>
                <c:pt idx="380">
                  <c:v>1238.9544254601005</c:v>
                </c:pt>
                <c:pt idx="381">
                  <c:v>1232.4766509869917</c:v>
                </c:pt>
                <c:pt idx="382">
                  <c:v>1225.933027299493</c:v>
                </c:pt>
                <c:pt idx="383">
                  <c:v>1219.3242040431317</c:v>
                </c:pt>
                <c:pt idx="384">
                  <c:v>1212.6508319562545</c:v>
                </c:pt>
                <c:pt idx="385">
                  <c:v>1205.9135626851976</c:v>
                </c:pt>
                <c:pt idx="386">
                  <c:v>1199.1130486020004</c:v>
                </c:pt>
                <c:pt idx="387">
                  <c:v>1192.2499426247384</c:v>
                </c:pt>
                <c:pt idx="388">
                  <c:v>1185.3248980405447</c:v>
                </c:pt>
                <c:pt idx="389">
                  <c:v>1178.3385683313841</c:v>
                </c:pt>
                <c:pt idx="390">
                  <c:v>1171.291607002644</c:v>
                </c:pt>
                <c:pt idx="391">
                  <c:v>1164.184667414595</c:v>
                </c:pt>
                <c:pt idx="392">
                  <c:v>1157.0184026167769</c:v>
                </c:pt>
                <c:pt idx="393">
                  <c:v>1149.7934651853589</c:v>
                </c:pt>
                <c:pt idx="394">
                  <c:v>1142.5105070635166</c:v>
                </c:pt>
                <c:pt idx="395">
                  <c:v>1135.1701794048695</c:v>
                </c:pt>
                <c:pt idx="396">
                  <c:v>1127.7731324200142</c:v>
                </c:pt>
                <c:pt idx="397">
                  <c:v>1120.3200152261882</c:v>
                </c:pt>
                <c:pt idx="398">
                  <c:v>1112.8114757000931</c:v>
                </c:pt>
                <c:pt idx="399">
                  <c:v>1105.2481603339036</c:v>
                </c:pt>
                <c:pt idx="400">
                  <c:v>1097.6307140944857</c:v>
                </c:pt>
                <c:pt idx="401">
                  <c:v>1089.959780285843</c:v>
                </c:pt>
                <c:pt idx="402">
                  <c:v>1082.2360004148056</c:v>
                </c:pt>
                <c:pt idx="403">
                  <c:v>1074.4600140599773</c:v>
                </c:pt>
                <c:pt idx="404">
                  <c:v>1066.6324587439476</c:v>
                </c:pt>
                <c:pt idx="405">
                  <c:v>1058.7539698087771</c:v>
                </c:pt>
                <c:pt idx="406">
                  <c:v>1050.8251802947589</c:v>
                </c:pt>
                <c:pt idx="407">
                  <c:v>1042.8467208224554</c:v>
                </c:pt>
                <c:pt idx="408">
                  <c:v>1034.8192194780113</c:v>
                </c:pt>
                <c:pt idx="409">
                  <c:v>1026.743301701734</c:v>
                </c:pt>
                <c:pt idx="410">
                  <c:v>1018.6195901799366</c:v>
                </c:pt>
                <c:pt idx="411">
                  <c:v>1010.448704740032</c:v>
                </c:pt>
                <c:pt idx="412">
                  <c:v>1002.231262248866</c:v>
                </c:pt>
                <c:pt idx="413">
                  <c:v>993.96787651427383</c:v>
                </c:pt>
                <c:pt idx="414">
                  <c:v>985.65915818984342</c:v>
                </c:pt>
                <c:pt idx="415">
                  <c:v>977.30571468286564</c:v>
                </c:pt>
                <c:pt idx="416">
                  <c:v>968.90815006544972</c:v>
                </c:pt>
                <c:pt idx="417">
                  <c:v>960.46706498878098</c:v>
                </c:pt>
                <c:pt idx="418">
                  <c:v>951.98305660049482</c:v>
                </c:pt>
                <c:pt idx="419">
                  <c:v>943.45671846513994</c:v>
                </c:pt>
                <c:pt idx="420">
                  <c:v>934.88864048770131</c:v>
                </c:pt>
                <c:pt idx="421">
                  <c:v>926.27940884015345</c:v>
                </c:pt>
                <c:pt idx="422">
                  <c:v>917.62960589100999</c:v>
                </c:pt>
                <c:pt idx="423">
                  <c:v>908.93981013783753</c:v>
                </c:pt>
                <c:pt idx="424">
                  <c:v>900.21059614269745</c:v>
                </c:pt>
                <c:pt idx="425">
                  <c:v>891.44253447048027</c:v>
                </c:pt>
                <c:pt idx="426">
                  <c:v>882.636191630094</c:v>
                </c:pt>
                <c:pt idx="427">
                  <c:v>873.79213001846813</c:v>
                </c:pt>
                <c:pt idx="428">
                  <c:v>864.910907867334</c:v>
                </c:pt>
                <c:pt idx="429">
                  <c:v>855.9930791927394</c:v>
                </c:pt>
                <c:pt idx="430">
                  <c:v>847.03919374725672</c:v>
                </c:pt>
                <c:pt idx="431">
                  <c:v>838.04979697484168</c:v>
                </c:pt>
                <c:pt idx="432">
                  <c:v>829.02542996829959</c:v>
                </c:pt>
                <c:pt idx="433">
                  <c:v>819.96662942931414</c:v>
                </c:pt>
                <c:pt idx="434">
                  <c:v>810.87392763099501</c:v>
                </c:pt>
                <c:pt idx="435">
                  <c:v>801.7478523828986</c:v>
                </c:pt>
                <c:pt idx="436">
                  <c:v>792.58892699847638</c:v>
                </c:pt>
                <c:pt idx="437">
                  <c:v>783.39767026490404</c:v>
                </c:pt>
                <c:pt idx="438">
                  <c:v>774.17459641524511</c:v>
                </c:pt>
                <c:pt idx="439">
                  <c:v>764.92021510290283</c:v>
                </c:pt>
                <c:pt idx="440">
                  <c:v>755.63503137831196</c:v>
                </c:pt>
                <c:pt idx="441">
                  <c:v>746.31954566782406</c:v>
                </c:pt>
                <c:pt idx="442">
                  <c:v>736.97425375473767</c:v>
                </c:pt>
                <c:pt idx="443">
                  <c:v>727.59964676242737</c:v>
                </c:pt>
                <c:pt idx="444">
                  <c:v>718.19621113952212</c:v>
                </c:pt>
                <c:pt idx="445">
                  <c:v>708.76442864708645</c:v>
                </c:pt>
                <c:pt idx="446">
                  <c:v>699.30477634775661</c:v>
                </c:pt>
                <c:pt idx="447">
                  <c:v>689.81772659678381</c:v>
                </c:pt>
                <c:pt idx="448">
                  <c:v>680.30374703493715</c:v>
                </c:pt>
                <c:pt idx="449">
                  <c:v>670.76330058321935</c:v>
                </c:pt>
                <c:pt idx="450">
                  <c:v>661.19684543934761</c:v>
                </c:pt>
                <c:pt idx="451">
                  <c:v>651.60483507595302</c:v>
                </c:pt>
                <c:pt idx="452">
                  <c:v>641.9877182404523</c:v>
                </c:pt>
                <c:pt idx="453">
                  <c:v>632.34593895654507</c:v>
                </c:pt>
                <c:pt idx="454">
                  <c:v>622.67993652729092</c:v>
                </c:pt>
                <c:pt idx="455">
                  <c:v>612.99014553972074</c:v>
                </c:pt>
                <c:pt idx="456">
                  <c:v>603.2769958709373</c:v>
                </c:pt>
                <c:pt idx="457">
                  <c:v>593.5409126956605</c:v>
                </c:pt>
                <c:pt idx="458">
                  <c:v>583.78231649517204</c:v>
                </c:pt>
                <c:pt idx="459">
                  <c:v>574.00162306761729</c:v>
                </c:pt>
                <c:pt idx="460">
                  <c:v>564.19924353961949</c:v>
                </c:pt>
                <c:pt idx="461">
                  <c:v>554.37558437916482</c:v>
                </c:pt>
                <c:pt idx="462">
                  <c:v>544.53104740971503</c:v>
                </c:pt>
                <c:pt idx="463">
                  <c:v>534.66602982550648</c:v>
                </c:pt>
                <c:pt idx="464">
                  <c:v>524.78092420799453</c:v>
                </c:pt>
                <c:pt idx="465">
                  <c:v>514.87611854340253</c:v>
                </c:pt>
                <c:pt idx="466">
                  <c:v>504.95199624133528</c:v>
                </c:pt>
                <c:pt idx="467">
                  <c:v>495.008936154418</c:v>
                </c:pt>
                <c:pt idx="468">
                  <c:v>485.04731259892208</c:v>
                </c:pt>
                <c:pt idx="469">
                  <c:v>475.06749537633897</c:v>
                </c:pt>
                <c:pt idx="470">
                  <c:v>465.06984979586571</c:v>
                </c:pt>
                <c:pt idx="471">
                  <c:v>455.05473669776433</c:v>
                </c:pt>
                <c:pt idx="472">
                  <c:v>445.02251247755959</c:v>
                </c:pt>
                <c:pt idx="473">
                  <c:v>434.97352911103945</c:v>
                </c:pt>
                <c:pt idx="474">
                  <c:v>424.9081341800233</c:v>
                </c:pt>
                <c:pt idx="475">
                  <c:v>414.82667089886405</c:v>
                </c:pt>
                <c:pt idx="476">
                  <c:v>404.72947814165047</c:v>
                </c:pt>
                <c:pt idx="477">
                  <c:v>394.6168904700769</c:v>
                </c:pt>
                <c:pt idx="478">
                  <c:v>384.48923816194844</c:v>
                </c:pt>
                <c:pt idx="479">
                  <c:v>374.34684724029006</c:v>
                </c:pt>
                <c:pt idx="480">
                  <c:v>364.19003950302886</c:v>
                </c:pt>
                <c:pt idx="481">
                  <c:v>354.01913255321926</c:v>
                </c:pt>
                <c:pt idx="482">
                  <c:v>343.83443982978218</c:v>
                </c:pt>
                <c:pt idx="483">
                  <c:v>333.63627063872889</c:v>
                </c:pt>
                <c:pt idx="484">
                  <c:v>323.42493018484203</c:v>
                </c:pt>
                <c:pt idx="485">
                  <c:v>313.20071960378584</c:v>
                </c:pt>
                <c:pt idx="486">
                  <c:v>302.96393599461936</c:v>
                </c:pt>
                <c:pt idx="487">
                  <c:v>292.71487245268634</c:v>
                </c:pt>
                <c:pt idx="488">
                  <c:v>282.45381810285625</c:v>
                </c:pt>
                <c:pt idx="489">
                  <c:v>272.18105813309217</c:v>
                </c:pt>
                <c:pt idx="490">
                  <c:v>261.89687382832085</c:v>
                </c:pt>
                <c:pt idx="491">
                  <c:v>251.60154260458182</c:v>
                </c:pt>
                <c:pt idx="492">
                  <c:v>241.29533804343254</c:v>
                </c:pt>
                <c:pt idx="493">
                  <c:v>230.9785299265875</c:v>
                </c:pt>
                <c:pt idx="494">
                  <c:v>220.65138427076971</c:v>
                </c:pt>
                <c:pt idx="495">
                  <c:v>210.31416336275325</c:v>
                </c:pt>
                <c:pt idx="496">
                  <c:v>199.96712579457699</c:v>
                </c:pt>
                <c:pt idx="497">
                  <c:v>189.61052649890928</c:v>
                </c:pt>
                <c:pt idx="498">
                  <c:v>179.24461678454475</c:v>
                </c:pt>
                <c:pt idx="499">
                  <c:v>168.86964437201419</c:v>
                </c:pt>
                <c:pt idx="500">
                  <c:v>158.48585342928996</c:v>
                </c:pt>
                <c:pt idx="501">
                  <c:v>148.09348460756894</c:v>
                </c:pt>
                <c:pt idx="502">
                  <c:v>137.69277507711647</c:v>
                </c:pt>
                <c:pt idx="503">
                  <c:v>127.28395856315478</c:v>
                </c:pt>
                <c:pt idx="504">
                  <c:v>116.86726538177996</c:v>
                </c:pt>
                <c:pt idx="505">
                  <c:v>106.44292247589216</c:v>
                </c:pt>
                <c:pt idx="506">
                  <c:v>96.011153451124414</c:v>
                </c:pt>
                <c:pt idx="507">
                  <c:v>85.572178611755476</c:v>
                </c:pt>
                <c:pt idx="508">
                  <c:v>75.126214996593134</c:v>
                </c:pt>
                <c:pt idx="509">
                  <c:v>64.673476414814573</c:v>
                </c:pt>
                <c:pt idx="510">
                  <c:v>54.214173481750855</c:v>
                </c:pt>
                <c:pt idx="511">
                  <c:v>43.748513654603386</c:v>
                </c:pt>
                <c:pt idx="512">
                  <c:v>33.276701268080238</c:v>
                </c:pt>
                <c:pt idx="513">
                  <c:v>22.798937569940996</c:v>
                </c:pt>
                <c:pt idx="514">
                  <c:v>12.315420756439096</c:v>
                </c:pt>
                <c:pt idx="515">
                  <c:v>1.8263460076510505</c:v>
                </c:pt>
                <c:pt idx="516">
                  <c:v>-8.6680944773175739</c:v>
                </c:pt>
                <c:pt idx="517">
                  <c:v>-8.6785915555325754</c:v>
                </c:pt>
                <c:pt idx="518">
                  <c:v>-8.6890886388300732</c:v>
                </c:pt>
                <c:pt idx="519">
                  <c:v>-8.6995857272098824</c:v>
                </c:pt>
                <c:pt idx="520">
                  <c:v>-8.7100828206718184</c:v>
                </c:pt>
                <c:pt idx="521">
                  <c:v>-8.7205799192156963</c:v>
                </c:pt>
                <c:pt idx="522">
                  <c:v>-8.7310770228413315</c:v>
                </c:pt>
                <c:pt idx="523">
                  <c:v>-8.7415741315485391</c:v>
                </c:pt>
                <c:pt idx="524">
                  <c:v>-8.7520712453371345</c:v>
                </c:pt>
                <c:pt idx="525">
                  <c:v>-8.7625683642069347</c:v>
                </c:pt>
                <c:pt idx="526">
                  <c:v>-8.7730654881577532</c:v>
                </c:pt>
                <c:pt idx="527">
                  <c:v>-8.7835626171894052</c:v>
                </c:pt>
                <c:pt idx="528">
                  <c:v>-8.794059751301706</c:v>
                </c:pt>
                <c:pt idx="529">
                  <c:v>-8.8045568904944727</c:v>
                </c:pt>
                <c:pt idx="530">
                  <c:v>-8.8150540347675186</c:v>
                </c:pt>
                <c:pt idx="531">
                  <c:v>-8.8255511841206609</c:v>
                </c:pt>
                <c:pt idx="532">
                  <c:v>-8.836048338553713</c:v>
                </c:pt>
                <c:pt idx="533">
                  <c:v>-8.8465454980664919</c:v>
                </c:pt>
                <c:pt idx="534">
                  <c:v>-8.8570426626588112</c:v>
                </c:pt>
                <c:pt idx="535">
                  <c:v>-8.8675398323304879</c:v>
                </c:pt>
                <c:pt idx="536">
                  <c:v>-8.8780370070813355</c:v>
                </c:pt>
                <c:pt idx="537">
                  <c:v>-8.8885341869111709</c:v>
                </c:pt>
                <c:pt idx="538">
                  <c:v>-8.8990313718198095</c:v>
                </c:pt>
                <c:pt idx="539">
                  <c:v>-8.9095285618070665</c:v>
                </c:pt>
                <c:pt idx="540">
                  <c:v>-8.9200257568727572</c:v>
                </c:pt>
                <c:pt idx="541">
                  <c:v>-8.9305229570166969</c:v>
                </c:pt>
                <c:pt idx="542">
                  <c:v>-8.9410201622387007</c:v>
                </c:pt>
                <c:pt idx="543">
                  <c:v>-8.9515173725385839</c:v>
                </c:pt>
                <c:pt idx="544">
                  <c:v>-8.9620145879161619</c:v>
                </c:pt>
                <c:pt idx="545">
                  <c:v>-8.9725118083712498</c:v>
                </c:pt>
                <c:pt idx="546">
                  <c:v>-8.9830090339036648</c:v>
                </c:pt>
                <c:pt idx="547">
                  <c:v>-8.9935062645132202</c:v>
                </c:pt>
                <c:pt idx="548">
                  <c:v>-9.0040035001997314</c:v>
                </c:pt>
                <c:pt idx="549">
                  <c:v>-9.0145007409630153</c:v>
                </c:pt>
                <c:pt idx="550">
                  <c:v>-9.0249979868028873</c:v>
                </c:pt>
                <c:pt idx="551">
                  <c:v>-9.0354952377191609</c:v>
                </c:pt>
                <c:pt idx="552">
                  <c:v>-9.0459924937116529</c:v>
                </c:pt>
                <c:pt idx="553">
                  <c:v>-9.0564897547801788</c:v>
                </c:pt>
                <c:pt idx="554">
                  <c:v>-9.0669870209245538</c:v>
                </c:pt>
                <c:pt idx="555">
                  <c:v>-9.0774842921445931</c:v>
                </c:pt>
                <c:pt idx="556">
                  <c:v>-9.087981568440112</c:v>
                </c:pt>
                <c:pt idx="557">
                  <c:v>-9.0984788498109257</c:v>
                </c:pt>
                <c:pt idx="558">
                  <c:v>-9.1089761362568495</c:v>
                </c:pt>
                <c:pt idx="559">
                  <c:v>-9.1194734277777005</c:v>
                </c:pt>
                <c:pt idx="560">
                  <c:v>-9.1299707243732922</c:v>
                </c:pt>
                <c:pt idx="561">
                  <c:v>-9.1404680260434414</c:v>
                </c:pt>
                <c:pt idx="562">
                  <c:v>-9.1509653327879619</c:v>
                </c:pt>
                <c:pt idx="563">
                  <c:v>-9.1614626446066705</c:v>
                </c:pt>
                <c:pt idx="564">
                  <c:v>-9.1719599614993825</c:v>
                </c:pt>
                <c:pt idx="565">
                  <c:v>-9.1824572834659133</c:v>
                </c:pt>
                <c:pt idx="566">
                  <c:v>-9.192954610506078</c:v>
                </c:pt>
                <c:pt idx="567">
                  <c:v>-9.2034519426196919</c:v>
                </c:pt>
                <c:pt idx="568">
                  <c:v>-9.2139492798065703</c:v>
                </c:pt>
                <c:pt idx="569">
                  <c:v>-9.2244466220665302</c:v>
                </c:pt>
                <c:pt idx="570">
                  <c:v>-9.2349439693993851</c:v>
                </c:pt>
                <c:pt idx="571">
                  <c:v>-9.245441321804952</c:v>
                </c:pt>
                <c:pt idx="572">
                  <c:v>-9.2559386792830463</c:v>
                </c:pt>
                <c:pt idx="573">
                  <c:v>-9.2664360418334812</c:v>
                </c:pt>
                <c:pt idx="574">
                  <c:v>-9.276933409456074</c:v>
                </c:pt>
                <c:pt idx="575">
                  <c:v>-9.2874307821506399</c:v>
                </c:pt>
                <c:pt idx="576">
                  <c:v>-9.2979281599169941</c:v>
                </c:pt>
                <c:pt idx="577">
                  <c:v>-9.3084255427549536</c:v>
                </c:pt>
                <c:pt idx="578">
                  <c:v>-9.318922930664332</c:v>
                </c:pt>
                <c:pt idx="579">
                  <c:v>-9.3294203236449462</c:v>
                </c:pt>
                <c:pt idx="580">
                  <c:v>-9.3399177216966098</c:v>
                </c:pt>
                <c:pt idx="581">
                  <c:v>-9.3504151248191398</c:v>
                </c:pt>
                <c:pt idx="582">
                  <c:v>-9.3609125330123515</c:v>
                </c:pt>
                <c:pt idx="583">
                  <c:v>-9.3714099462760601</c:v>
                </c:pt>
                <c:pt idx="584">
                  <c:v>-9.3819073646100808</c:v>
                </c:pt>
                <c:pt idx="585">
                  <c:v>-9.392404788014229</c:v>
                </c:pt>
                <c:pt idx="586">
                  <c:v>-9.4029022164883216</c:v>
                </c:pt>
                <c:pt idx="587">
                  <c:v>-9.4133996500321722</c:v>
                </c:pt>
                <c:pt idx="588">
                  <c:v>-9.4238970886455977</c:v>
                </c:pt>
                <c:pt idx="589">
                  <c:v>-9.4343945323284135</c:v>
                </c:pt>
                <c:pt idx="590">
                  <c:v>-9.4448919810804348</c:v>
                </c:pt>
                <c:pt idx="591">
                  <c:v>-9.4553894349014769</c:v>
                </c:pt>
                <c:pt idx="592">
                  <c:v>-9.465886893791355</c:v>
                </c:pt>
                <c:pt idx="593">
                  <c:v>-9.4763843577498861</c:v>
                </c:pt>
                <c:pt idx="594">
                  <c:v>-9.4868818267768837</c:v>
                </c:pt>
                <c:pt idx="595">
                  <c:v>-9.497379300872165</c:v>
                </c:pt>
                <c:pt idx="596">
                  <c:v>-9.507876780035545</c:v>
                </c:pt>
                <c:pt idx="597">
                  <c:v>-9.5183742642668392</c:v>
                </c:pt>
                <c:pt idx="598">
                  <c:v>-9.5288717535658627</c:v>
                </c:pt>
                <c:pt idx="599">
                  <c:v>-9.5393692479324308</c:v>
                </c:pt>
                <c:pt idx="600">
                  <c:v>-9.5498667473663605</c:v>
                </c:pt>
                <c:pt idx="601">
                  <c:v>-9.5603642518674672</c:v>
                </c:pt>
                <c:pt idx="602">
                  <c:v>-9.5708617614355642</c:v>
                </c:pt>
                <c:pt idx="603">
                  <c:v>-9.5813592760704687</c:v>
                </c:pt>
                <c:pt idx="604">
                  <c:v>-9.5918567957719958</c:v>
                </c:pt>
                <c:pt idx="605">
                  <c:v>-9.6023543205399626</c:v>
                </c:pt>
                <c:pt idx="606">
                  <c:v>-9.6128518503741827</c:v>
                </c:pt>
                <c:pt idx="607">
                  <c:v>-9.6233493852744729</c:v>
                </c:pt>
                <c:pt idx="608">
                  <c:v>-9.6338469252406487</c:v>
                </c:pt>
                <c:pt idx="609">
                  <c:v>-9.6443444702725234</c:v>
                </c:pt>
                <c:pt idx="610">
                  <c:v>-9.6548420203699159</c:v>
                </c:pt>
                <c:pt idx="611">
                  <c:v>-9.6653395755326397</c:v>
                </c:pt>
                <c:pt idx="612">
                  <c:v>-9.67583713576051</c:v>
                </c:pt>
                <c:pt idx="613">
                  <c:v>-9.6863347010533438</c:v>
                </c:pt>
                <c:pt idx="614">
                  <c:v>-9.6968322714109565</c:v>
                </c:pt>
                <c:pt idx="615">
                  <c:v>-9.7073298468331632</c:v>
                </c:pt>
                <c:pt idx="616">
                  <c:v>-9.7178274273197793</c:v>
                </c:pt>
                <c:pt idx="617">
                  <c:v>-9.72832501287062</c:v>
                </c:pt>
                <c:pt idx="618">
                  <c:v>-9.7388226034855023</c:v>
                </c:pt>
                <c:pt idx="619">
                  <c:v>-9.7493201991642415</c:v>
                </c:pt>
                <c:pt idx="620">
                  <c:v>-9.7598177999066529</c:v>
                </c:pt>
                <c:pt idx="621">
                  <c:v>-9.7703154057125516</c:v>
                </c:pt>
                <c:pt idx="622">
                  <c:v>-9.7808130165817531</c:v>
                </c:pt>
                <c:pt idx="623">
                  <c:v>-9.7913106325140742</c:v>
                </c:pt>
                <c:pt idx="624">
                  <c:v>-9.8018082535093285</c:v>
                </c:pt>
                <c:pt idx="625">
                  <c:v>-9.812305879567333</c:v>
                </c:pt>
                <c:pt idx="626">
                  <c:v>-9.822803510687903</c:v>
                </c:pt>
                <c:pt idx="627">
                  <c:v>-9.8333011468708555</c:v>
                </c:pt>
                <c:pt idx="628">
                  <c:v>-9.8437987881160041</c:v>
                </c:pt>
                <c:pt idx="629">
                  <c:v>-9.8542964344231656</c:v>
                </c:pt>
                <c:pt idx="630">
                  <c:v>-9.8647940857921554</c:v>
                </c:pt>
                <c:pt idx="631">
                  <c:v>-9.8752917422227888</c:v>
                </c:pt>
                <c:pt idx="632">
                  <c:v>-9.885789403714881</c:v>
                </c:pt>
                <c:pt idx="633">
                  <c:v>-9.8962870702682491</c:v>
                </c:pt>
                <c:pt idx="634">
                  <c:v>-9.9067847418827082</c:v>
                </c:pt>
                <c:pt idx="635">
                  <c:v>-9.9172824185580737</c:v>
                </c:pt>
                <c:pt idx="636">
                  <c:v>-9.9277801002941608</c:v>
                </c:pt>
                <c:pt idx="637">
                  <c:v>-9.9382777870907848</c:v>
                </c:pt>
                <c:pt idx="638">
                  <c:v>-9.9487754789477627</c:v>
                </c:pt>
                <c:pt idx="639">
                  <c:v>-9.9592731758649098</c:v>
                </c:pt>
                <c:pt idx="640">
                  <c:v>-9.9697708778420413</c:v>
                </c:pt>
                <c:pt idx="641">
                  <c:v>-9.9802685848789725</c:v>
                </c:pt>
                <c:pt idx="642">
                  <c:v>-9.9907662969755187</c:v>
                </c:pt>
                <c:pt idx="643">
                  <c:v>-10.001264014131497</c:v>
                </c:pt>
                <c:pt idx="644">
                  <c:v>-10.011761736346722</c:v>
                </c:pt>
                <c:pt idx="645">
                  <c:v>-10.02225946362101</c:v>
                </c:pt>
                <c:pt idx="646">
                  <c:v>-10.032757195954177</c:v>
                </c:pt>
                <c:pt idx="647">
                  <c:v>-10.043254933346038</c:v>
                </c:pt>
                <c:pt idx="648">
                  <c:v>-10.053752675796408</c:v>
                </c:pt>
                <c:pt idx="649">
                  <c:v>-10.064250423305104</c:v>
                </c:pt>
                <c:pt idx="650">
                  <c:v>-10.074748175871942</c:v>
                </c:pt>
                <c:pt idx="651">
                  <c:v>-10.085245933496736</c:v>
                </c:pt>
                <c:pt idx="652">
                  <c:v>-10.095743696179303</c:v>
                </c:pt>
                <c:pt idx="653">
                  <c:v>-10.106241463919458</c:v>
                </c:pt>
                <c:pt idx="654">
                  <c:v>-10.116739236717017</c:v>
                </c:pt>
                <c:pt idx="655">
                  <c:v>-10.127237014571795</c:v>
                </c:pt>
                <c:pt idx="656">
                  <c:v>-10.13773479748361</c:v>
                </c:pt>
                <c:pt idx="657">
                  <c:v>-10.148232585452275</c:v>
                </c:pt>
                <c:pt idx="658">
                  <c:v>-10.158730378477607</c:v>
                </c:pt>
                <c:pt idx="659">
                  <c:v>-10.169228176559422</c:v>
                </c:pt>
                <c:pt idx="660">
                  <c:v>-10.179725979697533</c:v>
                </c:pt>
                <c:pt idx="661">
                  <c:v>-10.190223787891759</c:v>
                </c:pt>
                <c:pt idx="662">
                  <c:v>-10.200721601141915</c:v>
                </c:pt>
                <c:pt idx="663">
                  <c:v>-10.211219419447815</c:v>
                </c:pt>
                <c:pt idx="664">
                  <c:v>-10.221717242809277</c:v>
                </c:pt>
                <c:pt idx="665">
                  <c:v>-10.232215071226115</c:v>
                </c:pt>
                <c:pt idx="666">
                  <c:v>-10.242712904698147</c:v>
                </c:pt>
                <c:pt idx="667">
                  <c:v>-10.253210743225186</c:v>
                </c:pt>
                <c:pt idx="668">
                  <c:v>-10.263708586807049</c:v>
                </c:pt>
                <c:pt idx="669">
                  <c:v>-10.274206435443551</c:v>
                </c:pt>
                <c:pt idx="670">
                  <c:v>-10.28470428913451</c:v>
                </c:pt>
                <c:pt idx="671">
                  <c:v>-10.295202147879738</c:v>
                </c:pt>
                <c:pt idx="672">
                  <c:v>-10.305700011679054</c:v>
                </c:pt>
                <c:pt idx="673">
                  <c:v>-10.316197880532272</c:v>
                </c:pt>
                <c:pt idx="674">
                  <c:v>-10.326695754439209</c:v>
                </c:pt>
                <c:pt idx="675">
                  <c:v>-10.33719363339968</c:v>
                </c:pt>
                <c:pt idx="676">
                  <c:v>-10.347691517413502</c:v>
                </c:pt>
                <c:pt idx="677">
                  <c:v>-10.358189406480488</c:v>
                </c:pt>
                <c:pt idx="678">
                  <c:v>-10.368687300600456</c:v>
                </c:pt>
                <c:pt idx="679">
                  <c:v>-10.379185199773222</c:v>
                </c:pt>
                <c:pt idx="680">
                  <c:v>-10.3896831039986</c:v>
                </c:pt>
                <c:pt idx="681">
                  <c:v>-10.400181013276406</c:v>
                </c:pt>
                <c:pt idx="682">
                  <c:v>-10.410678927606456</c:v>
                </c:pt>
                <c:pt idx="683">
                  <c:v>-10.421176846988567</c:v>
                </c:pt>
                <c:pt idx="684">
                  <c:v>-10.431674771422554</c:v>
                </c:pt>
                <c:pt idx="685">
                  <c:v>-10.442172700908232</c:v>
                </c:pt>
                <c:pt idx="686">
                  <c:v>-10.452670635445418</c:v>
                </c:pt>
                <c:pt idx="687">
                  <c:v>-10.463168575033928</c:v>
                </c:pt>
                <c:pt idx="688">
                  <c:v>-10.473666519673577</c:v>
                </c:pt>
                <c:pt idx="689">
                  <c:v>-10.484164469364179</c:v>
                </c:pt>
                <c:pt idx="690">
                  <c:v>-10.494662424105554</c:v>
                </c:pt>
                <c:pt idx="691">
                  <c:v>-10.505160383897515</c:v>
                </c:pt>
                <c:pt idx="692">
                  <c:v>-10.515658348739878</c:v>
                </c:pt>
                <c:pt idx="693">
                  <c:v>-10.526156318632459</c:v>
                </c:pt>
                <c:pt idx="694">
                  <c:v>-10.536654293575074</c:v>
                </c:pt>
                <c:pt idx="695">
                  <c:v>-10.547152273567539</c:v>
                </c:pt>
                <c:pt idx="696">
                  <c:v>-10.557650258609669</c:v>
                </c:pt>
                <c:pt idx="697">
                  <c:v>-10.568148248701281</c:v>
                </c:pt>
                <c:pt idx="698">
                  <c:v>-10.578646243842188</c:v>
                </c:pt>
                <c:pt idx="699">
                  <c:v>-10.589144244032209</c:v>
                </c:pt>
                <c:pt idx="700">
                  <c:v>-10.599642249271159</c:v>
                </c:pt>
                <c:pt idx="701">
                  <c:v>-10.610140259558854</c:v>
                </c:pt>
                <c:pt idx="702">
                  <c:v>-10.620638274895109</c:v>
                </c:pt>
                <c:pt idx="703">
                  <c:v>-10.63113629527974</c:v>
                </c:pt>
                <c:pt idx="704">
                  <c:v>-10.641634320712564</c:v>
                </c:pt>
                <c:pt idx="705">
                  <c:v>-10.652132351193394</c:v>
                </c:pt>
                <c:pt idx="706">
                  <c:v>-10.66263038672205</c:v>
                </c:pt>
                <c:pt idx="707">
                  <c:v>-10.673128427298344</c:v>
                </c:pt>
                <c:pt idx="708">
                  <c:v>-10.683626472922095</c:v>
                </c:pt>
                <c:pt idx="709">
                  <c:v>-10.694124523593116</c:v>
                </c:pt>
                <c:pt idx="710">
                  <c:v>-10.704622579311224</c:v>
                </c:pt>
                <c:pt idx="711">
                  <c:v>-10.715120640076234</c:v>
                </c:pt>
                <c:pt idx="712">
                  <c:v>-10.725618705887964</c:v>
                </c:pt>
                <c:pt idx="713">
                  <c:v>-10.736116776746229</c:v>
                </c:pt>
                <c:pt idx="714">
                  <c:v>-10.746614852650845</c:v>
                </c:pt>
                <c:pt idx="715">
                  <c:v>-10.757112933601627</c:v>
                </c:pt>
                <c:pt idx="716">
                  <c:v>-10.767611019598391</c:v>
                </c:pt>
                <c:pt idx="717">
                  <c:v>-10.778109110640953</c:v>
                </c:pt>
                <c:pt idx="718">
                  <c:v>-10.788607206729129</c:v>
                </c:pt>
                <c:pt idx="719">
                  <c:v>-10.799105307862735</c:v>
                </c:pt>
                <c:pt idx="720">
                  <c:v>-10.809603414041588</c:v>
                </c:pt>
                <c:pt idx="721">
                  <c:v>-10.820101525265502</c:v>
                </c:pt>
                <c:pt idx="722">
                  <c:v>-10.830599641534292</c:v>
                </c:pt>
                <c:pt idx="723">
                  <c:v>-10.841097762847776</c:v>
                </c:pt>
                <c:pt idx="724">
                  <c:v>-10.85159588920577</c:v>
                </c:pt>
                <c:pt idx="725">
                  <c:v>-10.862094020608088</c:v>
                </c:pt>
                <c:pt idx="726">
                  <c:v>-10.872592157054548</c:v>
                </c:pt>
                <c:pt idx="727">
                  <c:v>-10.883090298544966</c:v>
                </c:pt>
                <c:pt idx="728">
                  <c:v>-10.893588445079155</c:v>
                </c:pt>
                <c:pt idx="729">
                  <c:v>-10.904086596656933</c:v>
                </c:pt>
                <c:pt idx="730">
                  <c:v>-10.914584753278117</c:v>
                </c:pt>
                <c:pt idx="731">
                  <c:v>-10.925082914942521</c:v>
                </c:pt>
                <c:pt idx="732">
                  <c:v>-10.935581081649962</c:v>
                </c:pt>
                <c:pt idx="733">
                  <c:v>-10.946079253400255</c:v>
                </c:pt>
                <c:pt idx="734">
                  <c:v>-10.956577430193216</c:v>
                </c:pt>
                <c:pt idx="735">
                  <c:v>-10.967075612028662</c:v>
                </c:pt>
                <c:pt idx="736">
                  <c:v>-10.977573798906407</c:v>
                </c:pt>
                <c:pt idx="737">
                  <c:v>-10.988071990826269</c:v>
                </c:pt>
                <c:pt idx="738">
                  <c:v>-10.998570187788063</c:v>
                </c:pt>
                <c:pt idx="739">
                  <c:v>-11.009068389791604</c:v>
                </c:pt>
                <c:pt idx="740">
                  <c:v>-11.019566596836711</c:v>
                </c:pt>
                <c:pt idx="741">
                  <c:v>-11.030064808923196</c:v>
                </c:pt>
                <c:pt idx="742">
                  <c:v>-11.040563026050878</c:v>
                </c:pt>
                <c:pt idx="743">
                  <c:v>-11.05106124821957</c:v>
                </c:pt>
                <c:pt idx="744">
                  <c:v>-11.061559475429091</c:v>
                </c:pt>
                <c:pt idx="745">
                  <c:v>-11.072057707679255</c:v>
                </c:pt>
                <c:pt idx="746">
                  <c:v>-11.082555944969879</c:v>
                </c:pt>
                <c:pt idx="747">
                  <c:v>-11.09305418730078</c:v>
                </c:pt>
                <c:pt idx="748">
                  <c:v>-11.103552434671771</c:v>
                </c:pt>
                <c:pt idx="749">
                  <c:v>-11.114050687082671</c:v>
                </c:pt>
                <c:pt idx="750">
                  <c:v>-11.124548944533293</c:v>
                </c:pt>
                <c:pt idx="751">
                  <c:v>-11.135047207023455</c:v>
                </c:pt>
                <c:pt idx="752">
                  <c:v>-11.145545474552971</c:v>
                </c:pt>
                <c:pt idx="753">
                  <c:v>-11.156043747121659</c:v>
                </c:pt>
                <c:pt idx="754">
                  <c:v>-11.166542024729335</c:v>
                </c:pt>
                <c:pt idx="755">
                  <c:v>-11.177040307375814</c:v>
                </c:pt>
                <c:pt idx="756">
                  <c:v>-11.187538595060911</c:v>
                </c:pt>
                <c:pt idx="757">
                  <c:v>-11.198036887784443</c:v>
                </c:pt>
                <c:pt idx="758">
                  <c:v>-11.208535185546229</c:v>
                </c:pt>
                <c:pt idx="759">
                  <c:v>-11.21903348834608</c:v>
                </c:pt>
                <c:pt idx="760">
                  <c:v>-11.229531796183814</c:v>
                </c:pt>
                <c:pt idx="761">
                  <c:v>-11.240030109059248</c:v>
                </c:pt>
                <c:pt idx="762">
                  <c:v>-11.250528426972197</c:v>
                </c:pt>
                <c:pt idx="763">
                  <c:v>-11.261026749922477</c:v>
                </c:pt>
                <c:pt idx="764">
                  <c:v>-11.271525077909905</c:v>
                </c:pt>
                <c:pt idx="765">
                  <c:v>-11.282023410934295</c:v>
                </c:pt>
                <c:pt idx="766">
                  <c:v>-11.292521748995465</c:v>
                </c:pt>
                <c:pt idx="767">
                  <c:v>-11.303020092093231</c:v>
                </c:pt>
                <c:pt idx="768">
                  <c:v>-11.313518440227407</c:v>
                </c:pt>
                <c:pt idx="769">
                  <c:v>-11.32401679339781</c:v>
                </c:pt>
                <c:pt idx="770">
                  <c:v>-11.334515151604258</c:v>
                </c:pt>
                <c:pt idx="771">
                  <c:v>-11.345013514846563</c:v>
                </c:pt>
                <c:pt idx="772">
                  <c:v>-11.355511883124546</c:v>
                </c:pt>
                <c:pt idx="773">
                  <c:v>-11.366010256438019</c:v>
                </c:pt>
                <c:pt idx="774">
                  <c:v>-11.376508634786799</c:v>
                </c:pt>
                <c:pt idx="775">
                  <c:v>-11.387007018170703</c:v>
                </c:pt>
                <c:pt idx="776">
                  <c:v>-11.397505406589547</c:v>
                </c:pt>
                <c:pt idx="777">
                  <c:v>-11.408003800043145</c:v>
                </c:pt>
                <c:pt idx="778">
                  <c:v>-11.418502198531316</c:v>
                </c:pt>
                <c:pt idx="779">
                  <c:v>-11.429000602053874</c:v>
                </c:pt>
                <c:pt idx="780">
                  <c:v>-11.439499010610636</c:v>
                </c:pt>
                <c:pt idx="781">
                  <c:v>-11.449997424201417</c:v>
                </c:pt>
                <c:pt idx="782">
                  <c:v>-11.460495842826035</c:v>
                </c:pt>
                <c:pt idx="783">
                  <c:v>-11.470994266484304</c:v>
                </c:pt>
                <c:pt idx="784">
                  <c:v>-11.481492695176041</c:v>
                </c:pt>
                <c:pt idx="785">
                  <c:v>-11.491991128901061</c:v>
                </c:pt>
                <c:pt idx="786">
                  <c:v>-11.502489567659181</c:v>
                </c:pt>
                <c:pt idx="787">
                  <c:v>-11.512988011450217</c:v>
                </c:pt>
                <c:pt idx="788">
                  <c:v>-11.523486460273986</c:v>
                </c:pt>
                <c:pt idx="789">
                  <c:v>-11.533984914130302</c:v>
                </c:pt>
                <c:pt idx="790">
                  <c:v>-11.544483373018984</c:v>
                </c:pt>
                <c:pt idx="791">
                  <c:v>-11.554981836939845</c:v>
                </c:pt>
                <c:pt idx="792">
                  <c:v>-11.565480305892702</c:v>
                </c:pt>
                <c:pt idx="793">
                  <c:v>-11.575978779877373</c:v>
                </c:pt>
                <c:pt idx="794">
                  <c:v>-11.586477258893671</c:v>
                </c:pt>
                <c:pt idx="795">
                  <c:v>-11.596975742941416</c:v>
                </c:pt>
                <c:pt idx="796">
                  <c:v>-11.607474232020421</c:v>
                </c:pt>
                <c:pt idx="797">
                  <c:v>-11.617972726130501</c:v>
                </c:pt>
                <c:pt idx="798">
                  <c:v>-11.628471225271475</c:v>
                </c:pt>
                <c:pt idx="799">
                  <c:v>-11.63896972944316</c:v>
                </c:pt>
                <c:pt idx="800">
                  <c:v>-11.649468238645369</c:v>
                </c:pt>
                <c:pt idx="801">
                  <c:v>-11.659966752877919</c:v>
                </c:pt>
                <c:pt idx="802">
                  <c:v>-11.670465272140627</c:v>
                </c:pt>
                <c:pt idx="803">
                  <c:v>-11.680963796433307</c:v>
                </c:pt>
                <c:pt idx="804">
                  <c:v>-11.691462325755777</c:v>
                </c:pt>
                <c:pt idx="805">
                  <c:v>-11.701960860107853</c:v>
                </c:pt>
                <c:pt idx="806">
                  <c:v>-11.712459399489351</c:v>
                </c:pt>
                <c:pt idx="807">
                  <c:v>-11.722957943900086</c:v>
                </c:pt>
                <c:pt idx="808">
                  <c:v>-11.733456493339876</c:v>
                </c:pt>
                <c:pt idx="809">
                  <c:v>-11.743955047808537</c:v>
                </c:pt>
                <c:pt idx="810">
                  <c:v>-11.754453607305884</c:v>
                </c:pt>
                <c:pt idx="811">
                  <c:v>-11.764952171831734</c:v>
                </c:pt>
                <c:pt idx="812">
                  <c:v>-11.775450741385901</c:v>
                </c:pt>
                <c:pt idx="813">
                  <c:v>-11.785949315968205</c:v>
                </c:pt>
                <c:pt idx="814">
                  <c:v>-11.796447895578458</c:v>
                </c:pt>
                <c:pt idx="815">
                  <c:v>-11.80694648021648</c:v>
                </c:pt>
                <c:pt idx="816">
                  <c:v>-11.817445069882083</c:v>
                </c:pt>
                <c:pt idx="817">
                  <c:v>-11.827943664575088</c:v>
                </c:pt>
                <c:pt idx="818">
                  <c:v>-11.838442264295306</c:v>
                </c:pt>
                <c:pt idx="819">
                  <c:v>-11.848940869042558</c:v>
                </c:pt>
                <c:pt idx="820">
                  <c:v>-11.859439478816656</c:v>
                </c:pt>
                <c:pt idx="821">
                  <c:v>-11.869938093617419</c:v>
                </c:pt>
                <c:pt idx="822">
                  <c:v>-11.880436713444661</c:v>
                </c:pt>
                <c:pt idx="823">
                  <c:v>-11.890935338298201</c:v>
                </c:pt>
                <c:pt idx="824">
                  <c:v>-11.901433968177853</c:v>
                </c:pt>
                <c:pt idx="825">
                  <c:v>-11.911932603083434</c:v>
                </c:pt>
                <c:pt idx="826">
                  <c:v>-11.92243124301476</c:v>
                </c:pt>
                <c:pt idx="827">
                  <c:v>-11.932929887971646</c:v>
                </c:pt>
                <c:pt idx="828">
                  <c:v>-11.94342853795391</c:v>
                </c:pt>
                <c:pt idx="829">
                  <c:v>-11.953927192961368</c:v>
                </c:pt>
                <c:pt idx="830">
                  <c:v>-11.964425852993834</c:v>
                </c:pt>
                <c:pt idx="831">
                  <c:v>-11.974924518051127</c:v>
                </c:pt>
                <c:pt idx="832">
                  <c:v>-11.985423188133062</c:v>
                </c:pt>
                <c:pt idx="833">
                  <c:v>-11.995921863239454</c:v>
                </c:pt>
                <c:pt idx="834">
                  <c:v>-12.006420543370123</c:v>
                </c:pt>
                <c:pt idx="835">
                  <c:v>-12.01691922852488</c:v>
                </c:pt>
                <c:pt idx="836">
                  <c:v>-12.027417918703545</c:v>
                </c:pt>
                <c:pt idx="837">
                  <c:v>-12.037916613905933</c:v>
                </c:pt>
                <c:pt idx="838">
                  <c:v>-12.04841531413186</c:v>
                </c:pt>
                <c:pt idx="839">
                  <c:v>-12.058914019381143</c:v>
                </c:pt>
                <c:pt idx="840">
                  <c:v>-12.069412729653598</c:v>
                </c:pt>
                <c:pt idx="841">
                  <c:v>-12.07991144494904</c:v>
                </c:pt>
                <c:pt idx="842">
                  <c:v>-12.090410165267286</c:v>
                </c:pt>
                <c:pt idx="843">
                  <c:v>-12.100908890608153</c:v>
                </c:pt>
                <c:pt idx="844">
                  <c:v>-12.111407620971457</c:v>
                </c:pt>
                <c:pt idx="845">
                  <c:v>-12.121906356357014</c:v>
                </c:pt>
                <c:pt idx="846">
                  <c:v>-12.132405096764639</c:v>
                </c:pt>
                <c:pt idx="847">
                  <c:v>-12.14290384219415</c:v>
                </c:pt>
                <c:pt idx="848">
                  <c:v>-12.153402592645362</c:v>
                </c:pt>
                <c:pt idx="849">
                  <c:v>-12.163901348118092</c:v>
                </c:pt>
                <c:pt idx="850">
                  <c:v>-12.174400108612156</c:v>
                </c:pt>
                <c:pt idx="851">
                  <c:v>-12.18489887412737</c:v>
                </c:pt>
                <c:pt idx="852">
                  <c:v>-12.195397644663551</c:v>
                </c:pt>
                <c:pt idx="853">
                  <c:v>-12.205896420220515</c:v>
                </c:pt>
                <c:pt idx="854">
                  <c:v>-12.216395200798079</c:v>
                </c:pt>
                <c:pt idx="855">
                  <c:v>-12.226893986396057</c:v>
                </c:pt>
                <c:pt idx="856">
                  <c:v>-12.237392777014266</c:v>
                </c:pt>
                <c:pt idx="857">
                  <c:v>-12.247891572652524</c:v>
                </c:pt>
                <c:pt idx="858">
                  <c:v>-12.258390373310645</c:v>
                </c:pt>
                <c:pt idx="859">
                  <c:v>-12.268889178988447</c:v>
                </c:pt>
                <c:pt idx="860">
                  <c:v>-12.279387989685745</c:v>
                </c:pt>
                <c:pt idx="861">
                  <c:v>-12.289886805402356</c:v>
                </c:pt>
                <c:pt idx="862">
                  <c:v>-12.300385626138096</c:v>
                </c:pt>
                <c:pt idx="863">
                  <c:v>-12.310884451892782</c:v>
                </c:pt>
                <c:pt idx="864">
                  <c:v>-12.321383282666231</c:v>
                </c:pt>
                <c:pt idx="865">
                  <c:v>-12.331882118458257</c:v>
                </c:pt>
                <c:pt idx="866">
                  <c:v>-12.342380959268677</c:v>
                </c:pt>
                <c:pt idx="867">
                  <c:v>-12.352879805097308</c:v>
                </c:pt>
                <c:pt idx="868">
                  <c:v>-12.363378655943965</c:v>
                </c:pt>
                <c:pt idx="869">
                  <c:v>-12.373877511808466</c:v>
                </c:pt>
                <c:pt idx="870">
                  <c:v>-12.384376372690626</c:v>
                </c:pt>
                <c:pt idx="871">
                  <c:v>-12.394875238590263</c:v>
                </c:pt>
                <c:pt idx="872">
                  <c:v>-12.405374109507193</c:v>
                </c:pt>
                <c:pt idx="873">
                  <c:v>-12.415872985441231</c:v>
                </c:pt>
                <c:pt idx="874">
                  <c:v>-12.426371866392193</c:v>
                </c:pt>
                <c:pt idx="875">
                  <c:v>-12.436870752359896</c:v>
                </c:pt>
                <c:pt idx="876">
                  <c:v>-12.447369643344157</c:v>
                </c:pt>
                <c:pt idx="877">
                  <c:v>-12.457868539344791</c:v>
                </c:pt>
                <c:pt idx="878">
                  <c:v>-12.468367440361614</c:v>
                </c:pt>
                <c:pt idx="879">
                  <c:v>-12.478866346394446</c:v>
                </c:pt>
                <c:pt idx="880">
                  <c:v>-12.489365257443099</c:v>
                </c:pt>
                <c:pt idx="881">
                  <c:v>-12.499864173507392</c:v>
                </c:pt>
                <c:pt idx="882">
                  <c:v>-12.51036309458714</c:v>
                </c:pt>
                <c:pt idx="883">
                  <c:v>-12.520862020682159</c:v>
                </c:pt>
                <c:pt idx="884">
                  <c:v>-12.531360951792267</c:v>
                </c:pt>
                <c:pt idx="885">
                  <c:v>-12.54185988791728</c:v>
                </c:pt>
                <c:pt idx="886">
                  <c:v>-12.552358829057013</c:v>
                </c:pt>
                <c:pt idx="887">
                  <c:v>-12.562857775211285</c:v>
                </c:pt>
                <c:pt idx="888">
                  <c:v>-12.57335672637991</c:v>
                </c:pt>
                <c:pt idx="889">
                  <c:v>-12.583855682562703</c:v>
                </c:pt>
                <c:pt idx="890">
                  <c:v>-12.594354643759484</c:v>
                </c:pt>
                <c:pt idx="891">
                  <c:v>-12.604853609970068</c:v>
                </c:pt>
                <c:pt idx="892">
                  <c:v>-12.615352581194269</c:v>
                </c:pt>
                <c:pt idx="893">
                  <c:v>-12.625851557431906</c:v>
                </c:pt>
                <c:pt idx="894">
                  <c:v>-12.636350538682795</c:v>
                </c:pt>
                <c:pt idx="895">
                  <c:v>-12.646849524946751</c:v>
                </c:pt>
                <c:pt idx="896">
                  <c:v>-12.657348516223593</c:v>
                </c:pt>
                <c:pt idx="897">
                  <c:v>-12.667847512513134</c:v>
                </c:pt>
                <c:pt idx="898">
                  <c:v>-12.678346513815194</c:v>
                </c:pt>
                <c:pt idx="899">
                  <c:v>-12.688845520129588</c:v>
                </c:pt>
                <c:pt idx="900">
                  <c:v>-12.699344531456131</c:v>
                </c:pt>
                <c:pt idx="901">
                  <c:v>-12.709843547794639</c:v>
                </c:pt>
                <c:pt idx="902">
                  <c:v>-12.720342569144931</c:v>
                </c:pt>
                <c:pt idx="903">
                  <c:v>-12.730841595506822</c:v>
                </c:pt>
                <c:pt idx="904">
                  <c:v>-12.741340626880129</c:v>
                </c:pt>
                <c:pt idx="905">
                  <c:v>-12.751839663264668</c:v>
                </c:pt>
                <c:pt idx="906">
                  <c:v>-12.762338704660255</c:v>
                </c:pt>
                <c:pt idx="907">
                  <c:v>-12.772837751066707</c:v>
                </c:pt>
                <c:pt idx="908">
                  <c:v>-12.78333680248384</c:v>
                </c:pt>
                <c:pt idx="909">
                  <c:v>-12.79383585891147</c:v>
                </c:pt>
                <c:pt idx="910">
                  <c:v>-12.804334920349413</c:v>
                </c:pt>
                <c:pt idx="911">
                  <c:v>-12.814833986797488</c:v>
                </c:pt>
                <c:pt idx="912">
                  <c:v>-12.825333058255509</c:v>
                </c:pt>
                <c:pt idx="913">
                  <c:v>-12.835832134723294</c:v>
                </c:pt>
                <c:pt idx="914">
                  <c:v>-12.846331216200658</c:v>
                </c:pt>
                <c:pt idx="915">
                  <c:v>-12.856830302687419</c:v>
                </c:pt>
                <c:pt idx="916">
                  <c:v>-12.867329394183391</c:v>
                </c:pt>
                <c:pt idx="917">
                  <c:v>-12.877828490688394</c:v>
                </c:pt>
                <c:pt idx="918">
                  <c:v>-12.888327592202241</c:v>
                </c:pt>
                <c:pt idx="919">
                  <c:v>-12.898826698724751</c:v>
                </c:pt>
                <c:pt idx="920">
                  <c:v>-12.909325810255739</c:v>
                </c:pt>
                <c:pt idx="921">
                  <c:v>-12.919824926795021</c:v>
                </c:pt>
                <c:pt idx="922">
                  <c:v>-12.930324048342415</c:v>
                </c:pt>
                <c:pt idx="923">
                  <c:v>-12.940823174897737</c:v>
                </c:pt>
                <c:pt idx="924">
                  <c:v>-12.951322306460803</c:v>
                </c:pt>
                <c:pt idx="925">
                  <c:v>-12.961821443031429</c:v>
                </c:pt>
                <c:pt idx="926">
                  <c:v>-12.972320584609433</c:v>
                </c:pt>
                <c:pt idx="927">
                  <c:v>-12.982819731194629</c:v>
                </c:pt>
                <c:pt idx="928">
                  <c:v>-12.993318882786836</c:v>
                </c:pt>
                <c:pt idx="929">
                  <c:v>-13.00381803938587</c:v>
                </c:pt>
                <c:pt idx="930">
                  <c:v>-13.014317200991545</c:v>
                </c:pt>
                <c:pt idx="931">
                  <c:v>-13.024816367603682</c:v>
                </c:pt>
                <c:pt idx="932">
                  <c:v>-13.035315539222093</c:v>
                </c:pt>
                <c:pt idx="933">
                  <c:v>-13.045814715846598</c:v>
                </c:pt>
                <c:pt idx="934">
                  <c:v>-13.056313897477011</c:v>
                </c:pt>
                <c:pt idx="935">
                  <c:v>-13.06681308411315</c:v>
                </c:pt>
                <c:pt idx="936">
                  <c:v>-13.07731227575483</c:v>
                </c:pt>
                <c:pt idx="937">
                  <c:v>-13.087811472401869</c:v>
                </c:pt>
                <c:pt idx="938">
                  <c:v>-13.098310674054082</c:v>
                </c:pt>
                <c:pt idx="939">
                  <c:v>-13.108809880711286</c:v>
                </c:pt>
                <c:pt idx="940">
                  <c:v>-13.119309092373298</c:v>
                </c:pt>
                <c:pt idx="941">
                  <c:v>-13.129808309039934</c:v>
                </c:pt>
                <c:pt idx="942">
                  <c:v>-13.140307530711011</c:v>
                </c:pt>
                <c:pt idx="943">
                  <c:v>-13.150806757386347</c:v>
                </c:pt>
                <c:pt idx="944">
                  <c:v>-13.161305989065756</c:v>
                </c:pt>
                <c:pt idx="945">
                  <c:v>-13.171805225749056</c:v>
                </c:pt>
                <c:pt idx="946">
                  <c:v>-13.182304467436062</c:v>
                </c:pt>
                <c:pt idx="947">
                  <c:v>-13.19280371412659</c:v>
                </c:pt>
                <c:pt idx="948">
                  <c:v>-13.203302965820459</c:v>
                </c:pt>
                <c:pt idx="949">
                  <c:v>-13.213802222517485</c:v>
                </c:pt>
                <c:pt idx="950">
                  <c:v>-13.224301484217484</c:v>
                </c:pt>
                <c:pt idx="951">
                  <c:v>-13.234800750920273</c:v>
                </c:pt>
                <c:pt idx="952">
                  <c:v>-13.245300022625669</c:v>
                </c:pt>
                <c:pt idx="953">
                  <c:v>-13.255799299333486</c:v>
                </c:pt>
                <c:pt idx="954">
                  <c:v>-13.266298581043541</c:v>
                </c:pt>
                <c:pt idx="955">
                  <c:v>-13.276797867755652</c:v>
                </c:pt>
                <c:pt idx="956">
                  <c:v>-13.287297159469636</c:v>
                </c:pt>
                <c:pt idx="957">
                  <c:v>-13.29779645618531</c:v>
                </c:pt>
                <c:pt idx="958">
                  <c:v>-13.308295757902489</c:v>
                </c:pt>
                <c:pt idx="959">
                  <c:v>-13.318795064620989</c:v>
                </c:pt>
                <c:pt idx="960">
                  <c:v>-13.329294376340627</c:v>
                </c:pt>
                <c:pt idx="961">
                  <c:v>-13.339793693061221</c:v>
                </c:pt>
                <c:pt idx="962">
                  <c:v>-13.350293014782586</c:v>
                </c:pt>
                <c:pt idx="963">
                  <c:v>-13.36079234150454</c:v>
                </c:pt>
                <c:pt idx="964">
                  <c:v>-13.371291673226898</c:v>
                </c:pt>
                <c:pt idx="965">
                  <c:v>-13.381791009949477</c:v>
                </c:pt>
                <c:pt idx="966">
                  <c:v>-13.392290351672095</c:v>
                </c:pt>
                <c:pt idx="967">
                  <c:v>-13.402789698394567</c:v>
                </c:pt>
                <c:pt idx="968">
                  <c:v>-13.41328905011671</c:v>
                </c:pt>
                <c:pt idx="969">
                  <c:v>-13.423788406838339</c:v>
                </c:pt>
                <c:pt idx="970">
                  <c:v>-13.434287768559273</c:v>
                </c:pt>
                <c:pt idx="971">
                  <c:v>-13.444787135279327</c:v>
                </c:pt>
                <c:pt idx="972">
                  <c:v>-13.45528650699832</c:v>
                </c:pt>
                <c:pt idx="973">
                  <c:v>-13.465785883716066</c:v>
                </c:pt>
                <c:pt idx="974">
                  <c:v>-13.476285265432383</c:v>
                </c:pt>
                <c:pt idx="975">
                  <c:v>-13.486784652147087</c:v>
                </c:pt>
                <c:pt idx="976">
                  <c:v>-13.497284043859995</c:v>
                </c:pt>
                <c:pt idx="977">
                  <c:v>-13.507783440570924</c:v>
                </c:pt>
                <c:pt idx="978">
                  <c:v>-13.518282842279689</c:v>
                </c:pt>
                <c:pt idx="979">
                  <c:v>-13.528782248986108</c:v>
                </c:pt>
                <c:pt idx="980">
                  <c:v>-13.539281660689996</c:v>
                </c:pt>
                <c:pt idx="981">
                  <c:v>-13.549781077391172</c:v>
                </c:pt>
                <c:pt idx="982">
                  <c:v>-13.560280499089451</c:v>
                </c:pt>
                <c:pt idx="983">
                  <c:v>-13.570779925784651</c:v>
                </c:pt>
                <c:pt idx="984">
                  <c:v>-13.581279357476587</c:v>
                </c:pt>
                <c:pt idx="985">
                  <c:v>-13.591778794165077</c:v>
                </c:pt>
                <c:pt idx="986">
                  <c:v>-13.602278235849935</c:v>
                </c:pt>
                <c:pt idx="987">
                  <c:v>-13.612777682530981</c:v>
                </c:pt>
                <c:pt idx="988">
                  <c:v>-13.623277134208029</c:v>
                </c:pt>
                <c:pt idx="989">
                  <c:v>-13.633776590880899</c:v>
                </c:pt>
                <c:pt idx="990">
                  <c:v>-13.644276052549404</c:v>
                </c:pt>
                <c:pt idx="991">
                  <c:v>-13.654775519213363</c:v>
                </c:pt>
                <c:pt idx="992">
                  <c:v>-13.665274990872591</c:v>
                </c:pt>
                <c:pt idx="993">
                  <c:v>-13.675774467526907</c:v>
                </c:pt>
                <c:pt idx="994">
                  <c:v>-13.686273949176124</c:v>
                </c:pt>
                <c:pt idx="995">
                  <c:v>-13.696773435820061</c:v>
                </c:pt>
                <c:pt idx="996">
                  <c:v>-13.707272927458535</c:v>
                </c:pt>
                <c:pt idx="997">
                  <c:v>-13.717772424091361</c:v>
                </c:pt>
                <c:pt idx="998">
                  <c:v>-13.728271925718358</c:v>
                </c:pt>
                <c:pt idx="999">
                  <c:v>-13.738771432339341</c:v>
                </c:pt>
                <c:pt idx="1000">
                  <c:v>-13.749270943954127</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0</c:v>
                </c:pt>
                <c:pt idx="1">
                  <c:v>0</c:v>
                </c:pt>
                <c:pt idx="2">
                  <c:v>0</c:v>
                </c:pt>
                <c:pt idx="3">
                  <c:v>0</c:v>
                </c:pt>
                <c:pt idx="4">
                  <c:v>0</c:v>
                </c:pt>
                <c:pt idx="5">
                  <c:v>0</c:v>
                </c:pt>
                <c:pt idx="6">
                  <c:v>0</c:v>
                </c:pt>
              </c:numCache>
            </c:numRef>
          </c:xVal>
          <c:yVal>
            <c:numRef>
              <c:f>Trajecto!$C$141:$C$147</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100.55190764607381</c:v>
                </c:pt>
                <c:pt idx="1">
                  <c:v>100.92604486455873</c:v>
                </c:pt>
                <c:pt idx="2">
                  <c:v>101.30053271825916</c:v>
                </c:pt>
                <c:pt idx="3">
                  <c:v>101.67598716392254</c:v>
                </c:pt>
                <c:pt idx="4">
                  <c:v>102.05251987376249</c:v>
                </c:pt>
                <c:pt idx="5">
                  <c:v>102.43002369811185</c:v>
                </c:pt>
                <c:pt idx="6">
                  <c:v>102.80845818181649</c:v>
                </c:pt>
                <c:pt idx="7">
                  <c:v>103.18781622245535</c:v>
                </c:pt>
                <c:pt idx="8">
                  <c:v>103.56809072005159</c:v>
                </c:pt>
                <c:pt idx="9">
                  <c:v>103.94927457724636</c:v>
                </c:pt>
                <c:pt idx="10">
                  <c:v>104.33136069947048</c:v>
                </c:pt>
                <c:pt idx="11">
                  <c:v>104.71434199511383</c:v>
                </c:pt>
                <c:pt idx="12">
                  <c:v>105.09821137569259</c:v>
                </c:pt>
                <c:pt idx="13">
                  <c:v>105.4829617560143</c:v>
                </c:pt>
                <c:pt idx="14">
                  <c:v>105.86858605434081</c:v>
                </c:pt>
                <c:pt idx="15">
                  <c:v>106.25507719254892</c:v>
                </c:pt>
                <c:pt idx="16">
                  <c:v>106.64242809628905</c:v>
                </c:pt>
                <c:pt idx="17">
                  <c:v>107.03063169514164</c:v>
                </c:pt>
                <c:pt idx="18">
                  <c:v>107.41968092277142</c:v>
                </c:pt>
                <c:pt idx="19">
                  <c:v>107.80956871707967</c:v>
                </c:pt>
                <c:pt idx="20">
                  <c:v>108.20028802035418</c:v>
                </c:pt>
                <c:pt idx="21">
                  <c:v>108.59183177941725</c:v>
                </c:pt>
                <c:pt idx="22">
                  <c:v>108.98419294577151</c:v>
                </c:pt>
                <c:pt idx="23">
                  <c:v>109.3773644757437</c:v>
                </c:pt>
                <c:pt idx="24">
                  <c:v>109.77133933062629</c:v>
                </c:pt>
                <c:pt idx="25">
                  <c:v>110.1661104768171</c:v>
                </c:pt>
                <c:pt idx="26">
                  <c:v>110.56167088595679</c:v>
                </c:pt>
                <c:pt idx="27">
                  <c:v>110.95801353506437</c:v>
                </c:pt>
                <c:pt idx="28">
                  <c:v>111.35513140667058</c:v>
                </c:pt>
                <c:pt idx="29">
                  <c:v>111.75301748894931</c:v>
                </c:pt>
                <c:pt idx="30">
                  <c:v>112.15166477584688</c:v>
                </c:pt>
                <c:pt idx="31">
                  <c:v>112.55106626720945</c:v>
                </c:pt>
                <c:pt idx="32">
                  <c:v>112.95121496890829</c:v>
                </c:pt>
                <c:pt idx="33">
                  <c:v>113.3521038929631</c:v>
                </c:pt>
                <c:pt idx="34">
                  <c:v>113.75372605766337</c:v>
                </c:pt>
                <c:pt idx="35">
                  <c:v>114.15607448768768</c:v>
                </c:pt>
                <c:pt idx="36">
                  <c:v>114.55914221422111</c:v>
                </c:pt>
                <c:pt idx="37">
                  <c:v>114.96292227507065</c:v>
                </c:pt>
                <c:pt idx="38">
                  <c:v>115.36740771477865</c:v>
                </c:pt>
                <c:pt idx="39">
                  <c:v>115.77259158473436</c:v>
                </c:pt>
                <c:pt idx="40">
                  <c:v>116.17846694328348</c:v>
                </c:pt>
                <c:pt idx="41">
                  <c:v>116.58502685583589</c:v>
                </c:pt>
                <c:pt idx="42">
                  <c:v>116.99226439497134</c:v>
                </c:pt>
                <c:pt idx="43">
                  <c:v>117.40017264054339</c:v>
                </c:pt>
                <c:pt idx="44">
                  <c:v>117.80874467978127</c:v>
                </c:pt>
                <c:pt idx="45">
                  <c:v>118.21797360739008</c:v>
                </c:pt>
                <c:pt idx="46">
                  <c:v>118.62785252564893</c:v>
                </c:pt>
                <c:pt idx="47">
                  <c:v>119.03837454450735</c:v>
                </c:pt>
                <c:pt idx="48">
                  <c:v>119.44953278167975</c:v>
                </c:pt>
                <c:pt idx="49">
                  <c:v>119.86132036273816</c:v>
                </c:pt>
                <c:pt idx="50">
                  <c:v>120.273730421203</c:v>
                </c:pt>
                <c:pt idx="51">
                  <c:v>120.68675609863219</c:v>
                </c:pt>
                <c:pt idx="52">
                  <c:v>121.10039054470833</c:v>
                </c:pt>
                <c:pt idx="53">
                  <c:v>121.51462691732415</c:v>
                </c:pt>
                <c:pt idx="54">
                  <c:v>121.92945838266617</c:v>
                </c:pt>
                <c:pt idx="55">
                  <c:v>122.34487811529654</c:v>
                </c:pt>
                <c:pt idx="56">
                  <c:v>122.76087929823318</c:v>
                </c:pt>
                <c:pt idx="57">
                  <c:v>123.17745512302817</c:v>
                </c:pt>
                <c:pt idx="58">
                  <c:v>123.59459878984433</c:v>
                </c:pt>
                <c:pt idx="59">
                  <c:v>124.01230350753013</c:v>
                </c:pt>
                <c:pt idx="60">
                  <c:v>124.4305624936929</c:v>
                </c:pt>
                <c:pt idx="61">
                  <c:v>124.84936897477029</c:v>
                </c:pt>
                <c:pt idx="62">
                  <c:v>125.26871618609998</c:v>
                </c:pt>
                <c:pt idx="63">
                  <c:v>125.68859438057122</c:v>
                </c:pt>
                <c:pt idx="64">
                  <c:v>126.108987839015</c:v>
                </c:pt>
                <c:pt idx="65">
                  <c:v>126.52987786990754</c:v>
                </c:pt>
                <c:pt idx="66">
                  <c:v>126.95124580746118</c:v>
                </c:pt>
                <c:pt idx="67">
                  <c:v>127.3730702640584</c:v>
                </c:pt>
                <c:pt idx="68">
                  <c:v>127.79532438457059</c:v>
                </c:pt>
                <c:pt idx="69">
                  <c:v>128.21797371023965</c:v>
                </c:pt>
                <c:pt idx="70">
                  <c:v>128.640974044681</c:v>
                </c:pt>
                <c:pt idx="71">
                  <c:v>129.06427636208124</c:v>
                </c:pt>
                <c:pt idx="72">
                  <c:v>129.4878317120598</c:v>
                </c:pt>
                <c:pt idx="73">
                  <c:v>129.91159122129494</c:v>
                </c:pt>
                <c:pt idx="74">
                  <c:v>130.33550609507745</c:v>
                </c:pt>
                <c:pt idx="75">
                  <c:v>130.75952761879225</c:v>
                </c:pt>
                <c:pt idx="76">
                  <c:v>131.1836071593284</c:v>
                </c:pt>
                <c:pt idx="77">
                  <c:v>131.60769616641812</c:v>
                </c:pt>
                <c:pt idx="78">
                  <c:v>132.03174617390511</c:v>
                </c:pt>
                <c:pt idx="79">
                  <c:v>132.45570880094252</c:v>
                </c:pt>
                <c:pt idx="80">
                  <c:v>132.87953575312144</c:v>
                </c:pt>
                <c:pt idx="81">
                  <c:v>133.30318467901506</c:v>
                </c:pt>
                <c:pt idx="82">
                  <c:v>133.7266250188969</c:v>
                </c:pt>
                <c:pt idx="83">
                  <c:v>134.14983212745014</c:v>
                </c:pt>
                <c:pt idx="84">
                  <c:v>134.57278140377352</c:v>
                </c:pt>
                <c:pt idx="85">
                  <c:v>134.9954482914078</c:v>
                </c:pt>
                <c:pt idx="86">
                  <c:v>135.41780827834535</c:v>
                </c:pt>
                <c:pt idx="87">
                  <c:v>135.83983689702328</c:v>
                </c:pt>
                <c:pt idx="88">
                  <c:v>136.26150972430003</c:v>
                </c:pt>
                <c:pt idx="89">
                  <c:v>136.68280423903076</c:v>
                </c:pt>
                <c:pt idx="90">
                  <c:v>137.10370167695098</c:v>
                </c:pt>
                <c:pt idx="91">
                  <c:v>137.5241851655571</c:v>
                </c:pt>
                <c:pt idx="92">
                  <c:v>137.94423786162082</c:v>
                </c:pt>
                <c:pt idx="93">
                  <c:v>138.36384341646084</c:v>
                </c:pt>
                <c:pt idx="94">
                  <c:v>138.78298644052299</c:v>
                </c:pt>
                <c:pt idx="95">
                  <c:v>139.2016520359191</c:v>
                </c:pt>
                <c:pt idx="96">
                  <c:v>139.61982532964444</c:v>
                </c:pt>
                <c:pt idx="97">
                  <c:v>140.03749333908138</c:v>
                </c:pt>
                <c:pt idx="98">
                  <c:v>140.45464683471721</c:v>
                </c:pt>
                <c:pt idx="99">
                  <c:v>140.87127846675401</c:v>
                </c:pt>
                <c:pt idx="100">
                  <c:v>141.2873808945277</c:v>
                </c:pt>
                <c:pt idx="101">
                  <c:v>141.70294678638183</c:v>
                </c:pt>
                <c:pt idx="102">
                  <c:v>142.11796881954007</c:v>
                </c:pt>
                <c:pt idx="103">
                  <c:v>142.53243967997801</c:v>
                </c:pt>
                <c:pt idx="104">
                  <c:v>142.94635206229387</c:v>
                </c:pt>
                <c:pt idx="105">
                  <c:v>143.35969866957822</c:v>
                </c:pt>
                <c:pt idx="106">
                  <c:v>143.77247221328292</c:v>
                </c:pt>
                <c:pt idx="107">
                  <c:v>144.18466541308885</c:v>
                </c:pt>
                <c:pt idx="108">
                  <c:v>144.59627099677289</c:v>
                </c:pt>
                <c:pt idx="109">
                  <c:v>145.00728404689499</c:v>
                </c:pt>
                <c:pt idx="110">
                  <c:v>145.41770434404177</c:v>
                </c:pt>
                <c:pt idx="111">
                  <c:v>145.82753401061197</c:v>
                </c:pt>
                <c:pt idx="112">
                  <c:v>146.23677515814998</c:v>
                </c:pt>
                <c:pt idx="113">
                  <c:v>146.64542988742096</c:v>
                </c:pt>
                <c:pt idx="114">
                  <c:v>147.05350028848534</c:v>
                </c:pt>
                <c:pt idx="115">
                  <c:v>147.46098844077258</c:v>
                </c:pt>
                <c:pt idx="116">
                  <c:v>147.8678964131544</c:v>
                </c:pt>
                <c:pt idx="117">
                  <c:v>148.2742262640173</c:v>
                </c:pt>
                <c:pt idx="118">
                  <c:v>148.67998004133457</c:v>
                </c:pt>
                <c:pt idx="119">
                  <c:v>149.08515978273752</c:v>
                </c:pt>
                <c:pt idx="120">
                  <c:v>149.48976751558621</c:v>
                </c:pt>
                <c:pt idx="121">
                  <c:v>149.89380525703956</c:v>
                </c:pt>
                <c:pt idx="122">
                  <c:v>150.29727501412481</c:v>
                </c:pt>
                <c:pt idx="123">
                  <c:v>150.70017878380648</c:v>
                </c:pt>
                <c:pt idx="124">
                  <c:v>151.10251855305464</c:v>
                </c:pt>
                <c:pt idx="125">
                  <c:v>151.50429629891272</c:v>
                </c:pt>
                <c:pt idx="126">
                  <c:v>151.90551398856459</c:v>
                </c:pt>
                <c:pt idx="127">
                  <c:v>152.30617357940119</c:v>
                </c:pt>
                <c:pt idx="128">
                  <c:v>152.7062770190866</c:v>
                </c:pt>
                <c:pt idx="129">
                  <c:v>153.10582624562343</c:v>
                </c:pt>
                <c:pt idx="130">
                  <c:v>153.50482318741786</c:v>
                </c:pt>
                <c:pt idx="131">
                  <c:v>153.90326976334393</c:v>
                </c:pt>
                <c:pt idx="132">
                  <c:v>154.30116788280739</c:v>
                </c:pt>
                <c:pt idx="133">
                  <c:v>154.69851944580904</c:v>
                </c:pt>
                <c:pt idx="134">
                  <c:v>155.09532634300746</c:v>
                </c:pt>
                <c:pt idx="135">
                  <c:v>155.49159045578125</c:v>
                </c:pt>
                <c:pt idx="136">
                  <c:v>155.88731365629087</c:v>
                </c:pt>
                <c:pt idx="137">
                  <c:v>156.28249780753973</c:v>
                </c:pt>
                <c:pt idx="138">
                  <c:v>156.67714476343491</c:v>
                </c:pt>
                <c:pt idx="139">
                  <c:v>157.07125636884746</c:v>
                </c:pt>
                <c:pt idx="140">
                  <c:v>157.46483445967201</c:v>
                </c:pt>
                <c:pt idx="141">
                  <c:v>157.85788086288599</c:v>
                </c:pt>
                <c:pt idx="142">
                  <c:v>158.25039739660841</c:v>
                </c:pt>
                <c:pt idx="143">
                  <c:v>158.64238587015808</c:v>
                </c:pt>
                <c:pt idx="144">
                  <c:v>159.03384808411133</c:v>
                </c:pt>
                <c:pt idx="145">
                  <c:v>159.4247858303593</c:v>
                </c:pt>
                <c:pt idx="146">
                  <c:v>159.81520089216482</c:v>
                </c:pt>
                <c:pt idx="147">
                  <c:v>160.20509504421872</c:v>
                </c:pt>
                <c:pt idx="148">
                  <c:v>160.5944700526957</c:v>
                </c:pt>
                <c:pt idx="149">
                  <c:v>160.98332767530977</c:v>
                </c:pt>
                <c:pt idx="150">
                  <c:v>161.37166966136928</c:v>
                </c:pt>
                <c:pt idx="151">
                  <c:v>161.75949775183142</c:v>
                </c:pt>
                <c:pt idx="152">
                  <c:v>162.14681367935631</c:v>
                </c:pt>
                <c:pt idx="153">
                  <c:v>162.53361916836067</c:v>
                </c:pt>
                <c:pt idx="154">
                  <c:v>162.91991593507103</c:v>
                </c:pt>
                <c:pt idx="155">
                  <c:v>163.30570568757653</c:v>
                </c:pt>
                <c:pt idx="156">
                  <c:v>163.69099012588129</c:v>
                </c:pt>
                <c:pt idx="157">
                  <c:v>164.07577094195631</c:v>
                </c:pt>
                <c:pt idx="158">
                  <c:v>164.4600498197911</c:v>
                </c:pt>
                <c:pt idx="159">
                  <c:v>164.84382843544466</c:v>
                </c:pt>
                <c:pt idx="160">
                  <c:v>165.22710845709634</c:v>
                </c:pt>
                <c:pt idx="161">
                  <c:v>165.60989154509593</c:v>
                </c:pt>
                <c:pt idx="162">
                  <c:v>165.99217935201381</c:v>
                </c:pt>
                <c:pt idx="163">
                  <c:v>166.37397352269019</c:v>
                </c:pt>
                <c:pt idx="164">
                  <c:v>166.75527569428442</c:v>
                </c:pt>
                <c:pt idx="165">
                  <c:v>167.1360874963236</c:v>
                </c:pt>
                <c:pt idx="166">
                  <c:v>167.51641055075095</c:v>
                </c:pt>
                <c:pt idx="167">
                  <c:v>167.89624647197371</c:v>
                </c:pt>
                <c:pt idx="168">
                  <c:v>168.2755968669108</c:v>
                </c:pt>
                <c:pt idx="169">
                  <c:v>168.65446333503988</c:v>
                </c:pt>
                <c:pt idx="170">
                  <c:v>169.03284746844426</c:v>
                </c:pt>
                <c:pt idx="171">
                  <c:v>169.41075085185935</c:v>
                </c:pt>
                <c:pt idx="172">
                  <c:v>169.78817506271872</c:v>
                </c:pt>
                <c:pt idx="173">
                  <c:v>170.16512167119981</c:v>
                </c:pt>
                <c:pt idx="174">
                  <c:v>170.54159224026932</c:v>
                </c:pt>
                <c:pt idx="175">
                  <c:v>170.91758832572825</c:v>
                </c:pt>
                <c:pt idx="176">
                  <c:v>171.29311147625648</c:v>
                </c:pt>
                <c:pt idx="177">
                  <c:v>171.66816323345716</c:v>
                </c:pt>
                <c:pt idx="178">
                  <c:v>172.04274513190066</c:v>
                </c:pt>
                <c:pt idx="179">
                  <c:v>172.41685869916816</c:v>
                </c:pt>
                <c:pt idx="180">
                  <c:v>172.79050545589496</c:v>
                </c:pt>
                <c:pt idx="181">
                  <c:v>173.16368691581343</c:v>
                </c:pt>
                <c:pt idx="182">
                  <c:v>173.53640458579568</c:v>
                </c:pt>
                <c:pt idx="183">
                  <c:v>173.90865996589577</c:v>
                </c:pt>
                <c:pt idx="184">
                  <c:v>174.28045454939166</c:v>
                </c:pt>
                <c:pt idx="185">
                  <c:v>174.65178982282703</c:v>
                </c:pt>
                <c:pt idx="186">
                  <c:v>175.02266726605234</c:v>
                </c:pt>
                <c:pt idx="187">
                  <c:v>175.39308835226606</c:v>
                </c:pt>
                <c:pt idx="188">
                  <c:v>175.76305454805524</c:v>
                </c:pt>
                <c:pt idx="189">
                  <c:v>176.13256731343594</c:v>
                </c:pt>
                <c:pt idx="190">
                  <c:v>176.50162810189323</c:v>
                </c:pt>
                <c:pt idx="191">
                  <c:v>176.87023836042107</c:v>
                </c:pt>
                <c:pt idx="192">
                  <c:v>177.23839952956169</c:v>
                </c:pt>
                <c:pt idx="193">
                  <c:v>177.60611304344476</c:v>
                </c:pt>
                <c:pt idx="194">
                  <c:v>177.97338032982631</c:v>
                </c:pt>
                <c:pt idx="195">
                  <c:v>178.34020281012721</c:v>
                </c:pt>
                <c:pt idx="196">
                  <c:v>178.70658189947156</c:v>
                </c:pt>
                <c:pt idx="197">
                  <c:v>179.07251900672458</c:v>
                </c:pt>
                <c:pt idx="198">
                  <c:v>179.43801553453039</c:v>
                </c:pt>
                <c:pt idx="199">
                  <c:v>179.8030728793494</c:v>
                </c:pt>
                <c:pt idx="200">
                  <c:v>180.16769243149545</c:v>
                </c:pt>
                <c:pt idx="201">
                  <c:v>183.78991656323387</c:v>
                </c:pt>
                <c:pt idx="202">
                  <c:v>187.36925102188789</c:v>
                </c:pt>
                <c:pt idx="203">
                  <c:v>190.90703072043962</c:v>
                </c:pt>
                <c:pt idx="204">
                  <c:v>194.40453363445232</c:v>
                </c:pt>
                <c:pt idx="205">
                  <c:v>197.86298408047725</c:v>
                </c:pt>
                <c:pt idx="206">
                  <c:v>201.28355576112966</c:v>
                </c:pt>
                <c:pt idx="207">
                  <c:v>204.66737459658142</c:v>
                </c:pt>
                <c:pt idx="208">
                  <c:v>208.01552136028656</c:v>
                </c:pt>
                <c:pt idx="209">
                  <c:v>211.32903413503954</c:v>
                </c:pt>
                <c:pt idx="210">
                  <c:v>214.60891060393595</c:v>
                </c:pt>
                <c:pt idx="211">
                  <c:v>217.85611018943942</c:v>
                </c:pt>
                <c:pt idx="212">
                  <c:v>221.07155605253789</c:v>
                </c:pt>
                <c:pt idx="213">
                  <c:v>224.25613696287877</c:v>
                </c:pt>
                <c:pt idx="214">
                  <c:v>227.41070904979233</c:v>
                </c:pt>
                <c:pt idx="215">
                  <c:v>230.53609744323137</c:v>
                </c:pt>
                <c:pt idx="216">
                  <c:v>233.63309781286372</c:v>
                </c:pt>
                <c:pt idx="217">
                  <c:v>236.70247781283982</c:v>
                </c:pt>
                <c:pt idx="218">
                  <c:v>239.74497843911442</c:v>
                </c:pt>
                <c:pt idx="219">
                  <c:v>242.76131530561943</c:v>
                </c:pt>
                <c:pt idx="220">
                  <c:v>245.75217984505969</c:v>
                </c:pt>
                <c:pt idx="221">
                  <c:v>248.71824043962627</c:v>
                </c:pt>
                <c:pt idx="222">
                  <c:v>251.66014348649105</c:v>
                </c:pt>
                <c:pt idx="223">
                  <c:v>254.57851440255291</c:v>
                </c:pt>
                <c:pt idx="224">
                  <c:v>257.47395857255077</c:v>
                </c:pt>
                <c:pt idx="225">
                  <c:v>260.34706224433313</c:v>
                </c:pt>
                <c:pt idx="226">
                  <c:v>263.19839337477902</c:v>
                </c:pt>
                <c:pt idx="227">
                  <c:v>266.02850242959471</c:v>
                </c:pt>
                <c:pt idx="228">
                  <c:v>268.8379231399656</c:v>
                </c:pt>
                <c:pt idx="229">
                  <c:v>271.6271732188161</c:v>
                </c:pt>
                <c:pt idx="230">
                  <c:v>274.3967550392253</c:v>
                </c:pt>
                <c:pt idx="231">
                  <c:v>277.14715627735694</c:v>
                </c:pt>
                <c:pt idx="232">
                  <c:v>279.87885052208901</c:v>
                </c:pt>
                <c:pt idx="233">
                  <c:v>282.59229785336964</c:v>
                </c:pt>
                <c:pt idx="234">
                  <c:v>285.28794539117928</c:v>
                </c:pt>
                <c:pt idx="235">
                  <c:v>287.96622781684482</c:v>
                </c:pt>
                <c:pt idx="236">
                  <c:v>290.6275678683275</c:v>
                </c:pt>
                <c:pt idx="237">
                  <c:v>293.27237681099166</c:v>
                </c:pt>
                <c:pt idx="238">
                  <c:v>295.90105488525671</c:v>
                </c:pt>
                <c:pt idx="239">
                  <c:v>298.51399173243624</c:v>
                </c:pt>
                <c:pt idx="240">
                  <c:v>301.11156679997777</c:v>
                </c:pt>
                <c:pt idx="241">
                  <c:v>303.69414972723433</c:v>
                </c:pt>
                <c:pt idx="242">
                  <c:v>306.26210071281957</c:v>
                </c:pt>
                <c:pt idx="243">
                  <c:v>308.81577086452717</c:v>
                </c:pt>
                <c:pt idx="244">
                  <c:v>311.35550253272754</c:v>
                </c:pt>
                <c:pt idx="245">
                  <c:v>313.88162962809253</c:v>
                </c:pt>
                <c:pt idx="246">
                  <c:v>316.39447792444037</c:v>
                </c:pt>
                <c:pt idx="247">
                  <c:v>318.89436534743805</c:v>
                </c:pt>
                <c:pt idx="248">
                  <c:v>321.38160224984733</c:v>
                </c:pt>
                <c:pt idx="249">
                  <c:v>323.85649167395303</c:v>
                </c:pt>
                <c:pt idx="250">
                  <c:v>326.31932960176539</c:v>
                </c:pt>
                <c:pt idx="251">
                  <c:v>328.77040519354756</c:v>
                </c:pt>
                <c:pt idx="252">
                  <c:v>331.21000101517672</c:v>
                </c:pt>
                <c:pt idx="253">
                  <c:v>333.63839325481064</c:v>
                </c:pt>
                <c:pt idx="254">
                  <c:v>336.05585192929374</c:v>
                </c:pt>
                <c:pt idx="255">
                  <c:v>338.46264108070187</c:v>
                </c:pt>
                <c:pt idx="256">
                  <c:v>340.8590189633918</c:v>
                </c:pt>
                <c:pt idx="257">
                  <c:v>343.2452382218886</c:v>
                </c:pt>
                <c:pt idx="258">
                  <c:v>345.62154605991253</c:v>
                </c:pt>
                <c:pt idx="259">
                  <c:v>347.98818440081652</c:v>
                </c:pt>
                <c:pt idx="260">
                  <c:v>350.34539003967592</c:v>
                </c:pt>
                <c:pt idx="261">
                  <c:v>352.69339478724123</c:v>
                </c:pt>
                <c:pt idx="262">
                  <c:v>355.03242560593679</c:v>
                </c:pt>
                <c:pt idx="263">
                  <c:v>357.36270473805843</c:v>
                </c:pt>
                <c:pt idx="264">
                  <c:v>359.68444982629381</c:v>
                </c:pt>
                <c:pt idx="265">
                  <c:v>361.99787402666072</c:v>
                </c:pt>
                <c:pt idx="266">
                  <c:v>364.30318611392727</c:v>
                </c:pt>
                <c:pt idx="267">
                  <c:v>366.60059057954942</c:v>
                </c:pt>
                <c:pt idx="268">
                  <c:v>368.89028772212879</c:v>
                </c:pt>
                <c:pt idx="269">
                  <c:v>371.17247373036327</c:v>
                </c:pt>
                <c:pt idx="270">
                  <c:v>373.44734075842916</c:v>
                </c:pt>
                <c:pt idx="271">
                  <c:v>375.71507699370085</c:v>
                </c:pt>
                <c:pt idx="272">
                  <c:v>377.97586671667887</c:v>
                </c:pt>
                <c:pt idx="273">
                  <c:v>380.22989035296206</c:v>
                </c:pt>
                <c:pt idx="274">
                  <c:v>382.47732451706202</c:v>
                </c:pt>
                <c:pt idx="275">
                  <c:v>384.7183420478213</c:v>
                </c:pt>
                <c:pt idx="276">
                  <c:v>386.95311203515917</c:v>
                </c:pt>
                <c:pt idx="277">
                  <c:v>389.18179983782915</c:v>
                </c:pt>
                <c:pt idx="278">
                  <c:v>391.40456709183655</c:v>
                </c:pt>
                <c:pt idx="279">
                  <c:v>393.6215717091269</c:v>
                </c:pt>
                <c:pt idx="280">
                  <c:v>395.83296786612266</c:v>
                </c:pt>
                <c:pt idx="281">
                  <c:v>398.03890598165566</c:v>
                </c:pt>
                <c:pt idx="282">
                  <c:v>400.23953268381831</c:v>
                </c:pt>
                <c:pt idx="283">
                  <c:v>402.43499076524182</c:v>
                </c:pt>
                <c:pt idx="284">
                  <c:v>404.62541912630496</c:v>
                </c:pt>
                <c:pt idx="285">
                  <c:v>406.81095270578851</c:v>
                </c:pt>
                <c:pt idx="286">
                  <c:v>408.99172239852169</c:v>
                </c:pt>
                <c:pt idx="287">
                  <c:v>411.16785495962404</c:v>
                </c:pt>
                <c:pt idx="288">
                  <c:v>413.33947289503453</c:v>
                </c:pt>
                <c:pt idx="289">
                  <c:v>415.50669433814721</c:v>
                </c:pt>
                <c:pt idx="290">
                  <c:v>417.66963291254706</c:v>
                </c:pt>
                <c:pt idx="291">
                  <c:v>419.82839758106729</c:v>
                </c:pt>
                <c:pt idx="292">
                  <c:v>421.98309248167914</c:v>
                </c:pt>
                <c:pt idx="293">
                  <c:v>424.13381675108155</c:v>
                </c:pt>
                <c:pt idx="294">
                  <c:v>426.28066433728497</c:v>
                </c:pt>
                <c:pt idx="295">
                  <c:v>428.42372380297883</c:v>
                </c:pt>
                <c:pt idx="296">
                  <c:v>430.56307812203073</c:v>
                </c:pt>
                <c:pt idx="297">
                  <c:v>432.69880447206924</c:v>
                </c:pt>
                <c:pt idx="298">
                  <c:v>434.83097402673098</c:v>
                </c:pt>
                <c:pt idx="299">
                  <c:v>436.95965175176741</c:v>
                </c:pt>
                <c:pt idx="300">
                  <c:v>439.08489620976701</c:v>
                </c:pt>
                <c:pt idx="301">
                  <c:v>441.20675937869822</c:v>
                </c:pt>
                <c:pt idx="302">
                  <c:v>443.32528648976074</c:v>
                </c:pt>
                <c:pt idx="303">
                  <c:v>445.44051589009445</c:v>
                </c:pt>
                <c:pt idx="304">
                  <c:v>447.55247893568651</c:v>
                </c:pt>
                <c:pt idx="305">
                  <c:v>449.66119991931424</c:v>
                </c:pt>
                <c:pt idx="306">
                  <c:v>451.7666960375584</c:v>
                </c:pt>
                <c:pt idx="307">
                  <c:v>453.86897739985028</c:v>
                </c:pt>
                <c:pt idx="308">
                  <c:v>455.96804708123244</c:v>
                </c:pt>
                <c:pt idx="309">
                  <c:v>458.06390121910442</c:v>
                </c:pt>
                <c:pt idx="310">
                  <c:v>460.15652915279145</c:v>
                </c:pt>
                <c:pt idx="311">
                  <c:v>462.24591360342214</c:v>
                </c:pt>
                <c:pt idx="312">
                  <c:v>464.33203089042553</c:v>
                </c:pt>
                <c:pt idx="313">
                  <c:v>466.41485118002981</c:v>
                </c:pt>
                <c:pt idx="314">
                  <c:v>468.49433876051268</c:v>
                </c:pt>
                <c:pt idx="315">
                  <c:v>470.57045233862374</c:v>
                </c:pt>
                <c:pt idx="316">
                  <c:v>472.6431453515612</c:v>
                </c:pt>
                <c:pt idx="317">
                  <c:v>474.71236628909401</c:v>
                </c:pt>
                <c:pt idx="318">
                  <c:v>476.77805902082838</c:v>
                </c:pt>
                <c:pt idx="319">
                  <c:v>478.84016312416077</c:v>
                </c:pt>
                <c:pt idx="320">
                  <c:v>480.8986142090838</c:v>
                </c:pt>
                <c:pt idx="321">
                  <c:v>482.95334423666549</c:v>
                </c:pt>
                <c:pt idx="322">
                  <c:v>485.00428182866494</c:v>
                </c:pt>
                <c:pt idx="323">
                  <c:v>487.05135256634929</c:v>
                </c:pt>
                <c:pt idx="324">
                  <c:v>489.09447927711966</c:v>
                </c:pt>
                <c:pt idx="325">
                  <c:v>491.13358230802447</c:v>
                </c:pt>
                <c:pt idx="326">
                  <c:v>493.16857978563678</c:v>
                </c:pt>
                <c:pt idx="327">
                  <c:v>495.19938786209701</c:v>
                </c:pt>
                <c:pt idx="328">
                  <c:v>497.22592094738206</c:v>
                </c:pt>
                <c:pt idx="329">
                  <c:v>499.24809192806066</c:v>
                </c:pt>
                <c:pt idx="330">
                  <c:v>501.26581237294204</c:v>
                </c:pt>
                <c:pt idx="331">
                  <c:v>503.2789927261303</c:v>
                </c:pt>
                <c:pt idx="332">
                  <c:v>505.28754248806581</c:v>
                </c:pt>
                <c:pt idx="333">
                  <c:v>507.29137038517496</c:v>
                </c:pt>
                <c:pt idx="334">
                  <c:v>509.29038452876921</c:v>
                </c:pt>
                <c:pt idx="335">
                  <c:v>511.28449256383493</c:v>
                </c:pt>
                <c:pt idx="336">
                  <c:v>513.27360180834501</c:v>
                </c:pt>
                <c:pt idx="337">
                  <c:v>515.25761938370215</c:v>
                </c:pt>
                <c:pt idx="338">
                  <c:v>517.23645233689865</c:v>
                </c:pt>
                <c:pt idx="339">
                  <c:v>519.2100077549461</c:v>
                </c:pt>
                <c:pt idx="340">
                  <c:v>521.178192872095</c:v>
                </c:pt>
                <c:pt idx="341">
                  <c:v>523.14091517033307</c:v>
                </c:pt>
                <c:pt idx="342">
                  <c:v>525.09808247361468</c:v>
                </c:pt>
                <c:pt idx="343">
                  <c:v>527.04960303624307</c:v>
                </c:pt>
                <c:pt idx="344">
                  <c:v>528.99538562579323</c:v>
                </c:pt>
                <c:pt idx="345">
                  <c:v>530.93533960093566</c:v>
                </c:pt>
                <c:pt idx="346">
                  <c:v>532.86937498449049</c:v>
                </c:pt>
                <c:pt idx="347">
                  <c:v>534.79740253201669</c:v>
                </c:pt>
                <c:pt idx="348">
                  <c:v>536.71933379621464</c:v>
                </c:pt>
                <c:pt idx="349">
                  <c:v>538.63508118739912</c:v>
                </c:pt>
                <c:pt idx="350">
                  <c:v>540.54455803027793</c:v>
                </c:pt>
                <c:pt idx="351">
                  <c:v>542.44767861725188</c:v>
                </c:pt>
                <c:pt idx="352">
                  <c:v>544.34435825843514</c:v>
                </c:pt>
                <c:pt idx="353">
                  <c:v>546.23451332857701</c:v>
                </c:pt>
                <c:pt idx="354">
                  <c:v>548.11806131105413</c:v>
                </c:pt>
                <c:pt idx="355">
                  <c:v>549.99492083908615</c:v>
                </c:pt>
                <c:pt idx="356">
                  <c:v>551.86501173431748</c:v>
                </c:pt>
                <c:pt idx="357">
                  <c:v>553.72825504289574</c:v>
                </c:pt>
                <c:pt idx="358">
                  <c:v>555.58457306916853</c:v>
                </c:pt>
                <c:pt idx="359">
                  <c:v>557.43388940710986</c:v>
                </c:pt>
                <c:pt idx="360">
                  <c:v>559.27612896958033</c:v>
                </c:pt>
                <c:pt idx="361">
                  <c:v>561.11121801551724</c:v>
                </c:pt>
                <c:pt idx="362">
                  <c:v>562.93908417514479</c:v>
                </c:pt>
                <c:pt idx="363">
                  <c:v>564.75965647328746</c:v>
                </c:pt>
                <c:pt idx="364">
                  <c:v>566.57286535086462</c:v>
                </c:pt>
                <c:pt idx="365">
                  <c:v>568.37864268463977</c:v>
                </c:pt>
                <c:pt idx="366">
                  <c:v>570.17692180529343</c:v>
                </c:pt>
                <c:pt idx="367">
                  <c:v>571.96763751388323</c:v>
                </c:pt>
                <c:pt idx="368">
                  <c:v>573.75072609675294</c:v>
                </c:pt>
                <c:pt idx="369">
                  <c:v>575.52612533894808</c:v>
                </c:pt>
                <c:pt idx="370">
                  <c:v>577.29377453619179</c:v>
                </c:pt>
                <c:pt idx="371">
                  <c:v>579.05361450547423</c:v>
                </c:pt>
                <c:pt idx="372">
                  <c:v>580.80558759430301</c:v>
                </c:pt>
                <c:pt idx="373">
                  <c:v>582.54963768866378</c:v>
                </c:pt>
                <c:pt idx="374">
                  <c:v>584.28571021973414</c:v>
                </c:pt>
                <c:pt idx="375">
                  <c:v>586.01375216939584</c:v>
                </c:pt>
                <c:pt idx="376">
                  <c:v>587.73371207458501</c:v>
                </c:pt>
                <c:pt idx="377">
                  <c:v>589.44554003052178</c:v>
                </c:pt>
                <c:pt idx="378">
                  <c:v>591.14918769285703</c:v>
                </c:pt>
                <c:pt idx="379">
                  <c:v>592.84460827877365</c:v>
                </c:pt>
                <c:pt idx="380">
                  <c:v>594.5317565670789</c:v>
                </c:pt>
                <c:pt idx="381">
                  <c:v>596.21058889732171</c:v>
                </c:pt>
                <c:pt idx="382">
                  <c:v>597.88106316796984</c:v>
                </c:pt>
                <c:pt idx="383">
                  <c:v>599.54313883367922</c:v>
                </c:pt>
                <c:pt idx="384">
                  <c:v>601.19677690168817</c:v>
                </c:pt>
                <c:pt idx="385">
                  <c:v>602.84193992736698</c:v>
                </c:pt>
                <c:pt idx="386">
                  <c:v>604.47859200895459</c:v>
                </c:pt>
                <c:pt idx="387">
                  <c:v>606.10669878151066</c:v>
                </c:pt>
                <c:pt idx="388">
                  <c:v>607.72622741011321</c:v>
                </c:pt>
                <c:pt idx="389">
                  <c:v>609.33714658233055</c:v>
                </c:pt>
                <c:pt idx="390">
                  <c:v>610.93942649999417</c:v>
                </c:pt>
                <c:pt idx="391">
                  <c:v>612.53303887030086</c:v>
                </c:pt>
                <c:pt idx="392">
                  <c:v>614.11795689627104</c:v>
                </c:pt>
                <c:pt idx="393">
                  <c:v>615.69415526658815</c:v>
                </c:pt>
                <c:pt idx="394">
                  <c:v>617.26161014484671</c:v>
                </c:pt>
                <c:pt idx="395">
                  <c:v>618.82029915823216</c:v>
                </c:pt>
                <c:pt idx="396">
                  <c:v>620.37020138565913</c:v>
                </c:pt>
                <c:pt idx="397">
                  <c:v>621.91129734539084</c:v>
                </c:pt>
                <c:pt idx="398">
                  <c:v>623.44356898216461</c:v>
                </c:pt>
                <c:pt idx="399">
                  <c:v>624.96699965384562</c:v>
                </c:pt>
                <c:pt idx="400">
                  <c:v>626.48157411763259</c:v>
                </c:pt>
                <c:pt idx="401">
                  <c:v>627.98727851583772</c:v>
                </c:pt>
                <c:pt idx="402">
                  <c:v>629.48410036126211</c:v>
                </c:pt>
                <c:pt idx="403">
                  <c:v>630.97202852218959</c:v>
                </c:pt>
                <c:pt idx="404">
                  <c:v>632.45105320701816</c:v>
                </c:pt>
                <c:pt idx="405">
                  <c:v>633.92116594855179</c:v>
                </c:pt>
                <c:pt idx="406">
                  <c:v>635.38235958797088</c:v>
                </c:pt>
                <c:pt idx="407">
                  <c:v>636.83462825850245</c:v>
                </c:pt>
                <c:pt idx="408">
                  <c:v>638.27796736880919</c:v>
                </c:pt>
                <c:pt idx="409">
                  <c:v>639.71237358611586</c:v>
                </c:pt>
                <c:pt idx="410">
                  <c:v>641.13784481909215</c:v>
                </c:pt>
                <c:pt idx="411">
                  <c:v>642.55438020050963</c:v>
                </c:pt>
                <c:pt idx="412">
                  <c:v>643.96198006969109</c:v>
                </c:pt>
                <c:pt idx="413">
                  <c:v>645.36064595476864</c:v>
                </c:pt>
                <c:pt idx="414">
                  <c:v>646.75038055476841</c:v>
                </c:pt>
                <c:pt idx="415">
                  <c:v>648.1311877215378</c:v>
                </c:pt>
                <c:pt idx="416">
                  <c:v>649.503072441531</c:v>
                </c:pt>
                <c:pt idx="417">
                  <c:v>650.8660408174693</c:v>
                </c:pt>
                <c:pt idx="418">
                  <c:v>652.22010004989011</c:v>
                </c:pt>
                <c:pt idx="419">
                  <c:v>653.56525841860093</c:v>
                </c:pt>
                <c:pt idx="420">
                  <c:v>654.90152526405143</c:v>
                </c:pt>
                <c:pt idx="421">
                  <c:v>656.22891096863827</c:v>
                </c:pt>
                <c:pt idx="422">
                  <c:v>657.54742693795606</c:v>
                </c:pt>
                <c:pt idx="423">
                  <c:v>658.8570855820077</c:v>
                </c:pt>
                <c:pt idx="424">
                  <c:v>660.15790029638652</c:v>
                </c:pt>
                <c:pt idx="425">
                  <c:v>661.44988544344335</c:v>
                </c:pt>
                <c:pt idx="426">
                  <c:v>662.73305633344933</c:v>
                </c:pt>
                <c:pt idx="427">
                  <c:v>664.00742920576761</c:v>
                </c:pt>
                <c:pt idx="428">
                  <c:v>665.27302121004334</c:v>
                </c:pt>
                <c:pt idx="429">
                  <c:v>666.52985038742429</c:v>
                </c:pt>
                <c:pt idx="430">
                  <c:v>667.77793565182208</c:v>
                </c:pt>
                <c:pt idx="431">
                  <c:v>669.01729677122319</c:v>
                </c:pt>
                <c:pt idx="432">
                  <c:v>670.24795434906093</c:v>
                </c:pt>
                <c:pt idx="433">
                  <c:v>671.46992980565676</c:v>
                </c:pt>
                <c:pt idx="434">
                  <c:v>672.68324535974</c:v>
                </c:pt>
                <c:pt idx="435">
                  <c:v>673.8879240100548</c:v>
                </c:pt>
                <c:pt idx="436">
                  <c:v>675.08398951706261</c:v>
                </c:pt>
                <c:pt idx="437">
                  <c:v>676.27146638474778</c:v>
                </c:pt>
                <c:pt idx="438">
                  <c:v>677.45037984253418</c:v>
                </c:pt>
                <c:pt idx="439">
                  <c:v>678.62075582732007</c:v>
                </c:pt>
                <c:pt idx="440">
                  <c:v>679.78262096563788</c:v>
                </c:pt>
                <c:pt idx="441">
                  <c:v>680.93600255594549</c:v>
                </c:pt>
                <c:pt idx="442">
                  <c:v>682.08092855105588</c:v>
                </c:pt>
                <c:pt idx="443">
                  <c:v>683.21742754071022</c:v>
                </c:pt>
                <c:pt idx="444">
                  <c:v>684.34552873430073</c:v>
                </c:pt>
                <c:pt idx="445">
                  <c:v>685.46526194374849</c:v>
                </c:pt>
                <c:pt idx="446">
                  <c:v>686.57665756654103</c:v>
                </c:pt>
                <c:pt idx="447">
                  <c:v>687.67974656893466</c:v>
                </c:pt>
                <c:pt idx="448">
                  <c:v>688.77456046932639</c:v>
                </c:pt>
                <c:pt idx="449">
                  <c:v>689.86113132179889</c:v>
                </c:pt>
                <c:pt idx="450">
                  <c:v>690.93949169984307</c:v>
                </c:pt>
                <c:pt idx="451">
                  <c:v>692.00967468026181</c:v>
                </c:pt>
                <c:pt idx="452">
                  <c:v>693.07171382725812</c:v>
                </c:pt>
                <c:pt idx="453">
                  <c:v>694.12564317671115</c:v>
                </c:pt>
                <c:pt idx="454">
                  <c:v>695.171497220643</c:v>
                </c:pt>
                <c:pt idx="455">
                  <c:v>696.209310891879</c:v>
                </c:pt>
                <c:pt idx="456">
                  <c:v>697.23911954890343</c:v>
                </c:pt>
                <c:pt idx="457">
                  <c:v>698.26095896091419</c:v>
                </c:pt>
                <c:pt idx="458">
                  <c:v>699.27486529307703</c:v>
                </c:pt>
                <c:pt idx="459">
                  <c:v>700.28087509198235</c:v>
                </c:pt>
                <c:pt idx="460">
                  <c:v>701.2790252713055</c:v>
                </c:pt>
                <c:pt idx="461">
                  <c:v>702.26935309767248</c:v>
                </c:pt>
                <c:pt idx="462">
                  <c:v>703.25189617673175</c:v>
                </c:pt>
                <c:pt idx="463">
                  <c:v>704.22669243943369</c:v>
                </c:pt>
                <c:pt idx="464">
                  <c:v>705.19378012851882</c:v>
                </c:pt>
                <c:pt idx="465">
                  <c:v>706.15319778521462</c:v>
                </c:pt>
                <c:pt idx="466">
                  <c:v>707.10498423614217</c:v>
                </c:pt>
                <c:pt idx="467">
                  <c:v>708.04917858043325</c:v>
                </c:pt>
                <c:pt idx="468">
                  <c:v>708.98582017705735</c:v>
                </c:pt>
                <c:pt idx="469">
                  <c:v>709.91494863235914</c:v>
                </c:pt>
                <c:pt idx="470">
                  <c:v>710.83660378780678</c:v>
                </c:pt>
                <c:pt idx="471">
                  <c:v>711.7508257079495</c:v>
                </c:pt>
                <c:pt idx="472">
                  <c:v>712.65765466858613</c:v>
                </c:pt>
                <c:pt idx="473">
                  <c:v>713.55713114514242</c:v>
                </c:pt>
                <c:pt idx="474">
                  <c:v>714.44929580125722</c:v>
                </c:pt>
                <c:pt idx="475">
                  <c:v>715.33418947757707</c:v>
                </c:pt>
                <c:pt idx="476">
                  <c:v>716.21185318075834</c:v>
                </c:pt>
                <c:pt idx="477">
                  <c:v>717.08232807267518</c:v>
                </c:pt>
                <c:pt idx="478">
                  <c:v>717.94565545983403</c:v>
                </c:pt>
                <c:pt idx="479">
                  <c:v>718.8018767829916</c:v>
                </c:pt>
                <c:pt idx="480">
                  <c:v>719.6510336069764</c:v>
                </c:pt>
                <c:pt idx="481">
                  <c:v>720.49316761071259</c:v>
                </c:pt>
                <c:pt idx="482">
                  <c:v>721.32832057744383</c:v>
                </c:pt>
                <c:pt idx="483">
                  <c:v>722.15653438515687</c:v>
                </c:pt>
                <c:pt idx="484">
                  <c:v>722.97785099720238</c:v>
                </c:pt>
                <c:pt idx="485">
                  <c:v>723.79231245311212</c:v>
                </c:pt>
                <c:pt idx="486">
                  <c:v>724.59996085961041</c:v>
                </c:pt>
                <c:pt idx="487">
                  <c:v>725.4008383818184</c:v>
                </c:pt>
                <c:pt idx="488">
                  <c:v>726.1949872346496</c:v>
                </c:pt>
                <c:pt idx="489">
                  <c:v>726.98244967439405</c:v>
                </c:pt>
                <c:pt idx="490">
                  <c:v>727.76326799049002</c:v>
                </c:pt>
                <c:pt idx="491">
                  <c:v>728.53748449748139</c:v>
                </c:pt>
                <c:pt idx="492">
                  <c:v>729.30514152715818</c:v>
                </c:pt>
                <c:pt idx="493">
                  <c:v>730.06628142087834</c:v>
                </c:pt>
                <c:pt idx="494">
                  <c:v>730.82094652206922</c:v>
                </c:pt>
                <c:pt idx="495">
                  <c:v>731.56917916890632</c:v>
                </c:pt>
                <c:pt idx="496">
                  <c:v>732.31102168716723</c:v>
                </c:pt>
                <c:pt idx="497">
                  <c:v>733.04651638325834</c:v>
                </c:pt>
                <c:pt idx="498">
                  <c:v>733.77570553741316</c:v>
                </c:pt>
                <c:pt idx="499">
                  <c:v>734.49863139705849</c:v>
                </c:pt>
                <c:pt idx="500">
                  <c:v>735.215336170348</c:v>
                </c:pt>
                <c:pt idx="501">
                  <c:v>735.92586201985932</c:v>
                </c:pt>
                <c:pt idx="502">
                  <c:v>736.63025105645397</c:v>
                </c:pt>
                <c:pt idx="503">
                  <c:v>737.32854533329623</c:v>
                </c:pt>
                <c:pt idx="504">
                  <c:v>738.0207868400305</c:v>
                </c:pt>
                <c:pt idx="505">
                  <c:v>738.70701749711316</c:v>
                </c:pt>
                <c:pt idx="506">
                  <c:v>739.38727915029801</c:v>
                </c:pt>
                <c:pt idx="507">
                  <c:v>740.06161356527173</c:v>
                </c:pt>
                <c:pt idx="508">
                  <c:v>740.73006242243878</c:v>
                </c:pt>
                <c:pt idx="509">
                  <c:v>741.39266731185114</c:v>
                </c:pt>
                <c:pt idx="510">
                  <c:v>742.04946972828316</c:v>
                </c:pt>
                <c:pt idx="511">
                  <c:v>742.70051106644701</c:v>
                </c:pt>
                <c:pt idx="512">
                  <c:v>743.34583261634782</c:v>
                </c:pt>
                <c:pt idx="513">
                  <c:v>743.98547555877565</c:v>
                </c:pt>
                <c:pt idx="514">
                  <c:v>744.61948096093238</c:v>
                </c:pt>
                <c:pt idx="515">
                  <c:v>745.24788977219066</c:v>
                </c:pt>
                <c:pt idx="516">
                  <c:v>745.87074281998321</c:v>
                </c:pt>
                <c:pt idx="517">
                  <c:v>745.87074281998321</c:v>
                </c:pt>
                <c:pt idx="518">
                  <c:v>745.87074281998321</c:v>
                </c:pt>
                <c:pt idx="519">
                  <c:v>745.87074281998321</c:v>
                </c:pt>
                <c:pt idx="520">
                  <c:v>745.87074281998321</c:v>
                </c:pt>
                <c:pt idx="521">
                  <c:v>745.87074281998321</c:v>
                </c:pt>
                <c:pt idx="522">
                  <c:v>745.87074281998321</c:v>
                </c:pt>
                <c:pt idx="523">
                  <c:v>745.87074281998321</c:v>
                </c:pt>
                <c:pt idx="524">
                  <c:v>745.87074281998321</c:v>
                </c:pt>
                <c:pt idx="525">
                  <c:v>745.87074281998321</c:v>
                </c:pt>
                <c:pt idx="526">
                  <c:v>745.87074281998321</c:v>
                </c:pt>
                <c:pt idx="527">
                  <c:v>745.87074281998321</c:v>
                </c:pt>
                <c:pt idx="528">
                  <c:v>745.87074281998321</c:v>
                </c:pt>
                <c:pt idx="529">
                  <c:v>745.87074281998321</c:v>
                </c:pt>
                <c:pt idx="530">
                  <c:v>745.87074281998321</c:v>
                </c:pt>
                <c:pt idx="531">
                  <c:v>745.87074281998321</c:v>
                </c:pt>
                <c:pt idx="532">
                  <c:v>745.87074281998321</c:v>
                </c:pt>
                <c:pt idx="533">
                  <c:v>745.87074281998321</c:v>
                </c:pt>
                <c:pt idx="534">
                  <c:v>745.87074281998321</c:v>
                </c:pt>
                <c:pt idx="535">
                  <c:v>745.87074281998321</c:v>
                </c:pt>
                <c:pt idx="536">
                  <c:v>745.87074281998321</c:v>
                </c:pt>
                <c:pt idx="537">
                  <c:v>745.87074281998321</c:v>
                </c:pt>
                <c:pt idx="538">
                  <c:v>745.87074281998321</c:v>
                </c:pt>
                <c:pt idx="539">
                  <c:v>745.87074281998321</c:v>
                </c:pt>
                <c:pt idx="540">
                  <c:v>745.87074281998321</c:v>
                </c:pt>
                <c:pt idx="541">
                  <c:v>745.87074281998321</c:v>
                </c:pt>
                <c:pt idx="542">
                  <c:v>745.87074281998321</c:v>
                </c:pt>
                <c:pt idx="543">
                  <c:v>745.87074281998321</c:v>
                </c:pt>
                <c:pt idx="544">
                  <c:v>745.87074281998321</c:v>
                </c:pt>
                <c:pt idx="545">
                  <c:v>745.87074281998321</c:v>
                </c:pt>
                <c:pt idx="546">
                  <c:v>745.87074281998321</c:v>
                </c:pt>
                <c:pt idx="547">
                  <c:v>745.87074281998321</c:v>
                </c:pt>
                <c:pt idx="548">
                  <c:v>745.87074281998321</c:v>
                </c:pt>
                <c:pt idx="549">
                  <c:v>745.87074281998321</c:v>
                </c:pt>
                <c:pt idx="550">
                  <c:v>745.87074281998321</c:v>
                </c:pt>
                <c:pt idx="551">
                  <c:v>745.87074281998321</c:v>
                </c:pt>
                <c:pt idx="552">
                  <c:v>745.87074281998321</c:v>
                </c:pt>
                <c:pt idx="553">
                  <c:v>745.87074281998321</c:v>
                </c:pt>
                <c:pt idx="554">
                  <c:v>745.87074281998321</c:v>
                </c:pt>
                <c:pt idx="555">
                  <c:v>745.87074281998321</c:v>
                </c:pt>
                <c:pt idx="556">
                  <c:v>745.87074281998321</c:v>
                </c:pt>
                <c:pt idx="557">
                  <c:v>745.87074281998321</c:v>
                </c:pt>
                <c:pt idx="558">
                  <c:v>745.87074281998321</c:v>
                </c:pt>
                <c:pt idx="559">
                  <c:v>745.87074281998321</c:v>
                </c:pt>
                <c:pt idx="560">
                  <c:v>745.87074281998321</c:v>
                </c:pt>
                <c:pt idx="561">
                  <c:v>745.87074281998321</c:v>
                </c:pt>
                <c:pt idx="562">
                  <c:v>745.87074281998321</c:v>
                </c:pt>
                <c:pt idx="563">
                  <c:v>745.87074281998321</c:v>
                </c:pt>
                <c:pt idx="564">
                  <c:v>745.87074281998321</c:v>
                </c:pt>
                <c:pt idx="565">
                  <c:v>745.87074281998321</c:v>
                </c:pt>
                <c:pt idx="566">
                  <c:v>745.87074281998321</c:v>
                </c:pt>
                <c:pt idx="567">
                  <c:v>745.87074281998321</c:v>
                </c:pt>
                <c:pt idx="568">
                  <c:v>745.87074281998321</c:v>
                </c:pt>
                <c:pt idx="569">
                  <c:v>745.87074281998321</c:v>
                </c:pt>
                <c:pt idx="570">
                  <c:v>745.87074281998321</c:v>
                </c:pt>
                <c:pt idx="571">
                  <c:v>745.87074281998321</c:v>
                </c:pt>
                <c:pt idx="572">
                  <c:v>745.87074281998321</c:v>
                </c:pt>
                <c:pt idx="573">
                  <c:v>745.87074281998321</c:v>
                </c:pt>
                <c:pt idx="574">
                  <c:v>745.87074281998321</c:v>
                </c:pt>
                <c:pt idx="575">
                  <c:v>745.87074281998321</c:v>
                </c:pt>
                <c:pt idx="576">
                  <c:v>745.87074281998321</c:v>
                </c:pt>
                <c:pt idx="577">
                  <c:v>745.87074281998321</c:v>
                </c:pt>
                <c:pt idx="578">
                  <c:v>745.87074281998321</c:v>
                </c:pt>
                <c:pt idx="579">
                  <c:v>745.87074281998321</c:v>
                </c:pt>
                <c:pt idx="580">
                  <c:v>745.87074281998321</c:v>
                </c:pt>
                <c:pt idx="581">
                  <c:v>745.87074281998321</c:v>
                </c:pt>
                <c:pt idx="582">
                  <c:v>745.87074281998321</c:v>
                </c:pt>
                <c:pt idx="583">
                  <c:v>745.87074281998321</c:v>
                </c:pt>
                <c:pt idx="584">
                  <c:v>745.87074281998321</c:v>
                </c:pt>
                <c:pt idx="585">
                  <c:v>745.87074281998321</c:v>
                </c:pt>
                <c:pt idx="586">
                  <c:v>745.87074281998321</c:v>
                </c:pt>
                <c:pt idx="587">
                  <c:v>745.87074281998321</c:v>
                </c:pt>
                <c:pt idx="588">
                  <c:v>745.87074281998321</c:v>
                </c:pt>
                <c:pt idx="589">
                  <c:v>745.87074281998321</c:v>
                </c:pt>
                <c:pt idx="590">
                  <c:v>745.87074281998321</c:v>
                </c:pt>
                <c:pt idx="591">
                  <c:v>745.87074281998321</c:v>
                </c:pt>
                <c:pt idx="592">
                  <c:v>745.87074281998321</c:v>
                </c:pt>
                <c:pt idx="593">
                  <c:v>745.87074281998321</c:v>
                </c:pt>
                <c:pt idx="594">
                  <c:v>745.87074281998321</c:v>
                </c:pt>
                <c:pt idx="595">
                  <c:v>745.87074281998321</c:v>
                </c:pt>
                <c:pt idx="596">
                  <c:v>745.87074281998321</c:v>
                </c:pt>
                <c:pt idx="597">
                  <c:v>745.87074281998321</c:v>
                </c:pt>
                <c:pt idx="598">
                  <c:v>745.87074281998321</c:v>
                </c:pt>
                <c:pt idx="599">
                  <c:v>745.87074281998321</c:v>
                </c:pt>
                <c:pt idx="600">
                  <c:v>745.87074281998321</c:v>
                </c:pt>
                <c:pt idx="601">
                  <c:v>745.87074281998321</c:v>
                </c:pt>
                <c:pt idx="602">
                  <c:v>745.87074281998321</c:v>
                </c:pt>
                <c:pt idx="603">
                  <c:v>745.87074281998321</c:v>
                </c:pt>
                <c:pt idx="604">
                  <c:v>745.87074281998321</c:v>
                </c:pt>
                <c:pt idx="605">
                  <c:v>745.87074281998321</c:v>
                </c:pt>
                <c:pt idx="606">
                  <c:v>745.87074281998321</c:v>
                </c:pt>
                <c:pt idx="607">
                  <c:v>745.87074281998321</c:v>
                </c:pt>
                <c:pt idx="608">
                  <c:v>745.87074281998321</c:v>
                </c:pt>
                <c:pt idx="609">
                  <c:v>745.87074281998321</c:v>
                </c:pt>
                <c:pt idx="610">
                  <c:v>745.87074281998321</c:v>
                </c:pt>
                <c:pt idx="611">
                  <c:v>745.87074281998321</c:v>
                </c:pt>
                <c:pt idx="612">
                  <c:v>745.87074281998321</c:v>
                </c:pt>
                <c:pt idx="613">
                  <c:v>745.87074281998321</c:v>
                </c:pt>
                <c:pt idx="614">
                  <c:v>745.87074281998321</c:v>
                </c:pt>
                <c:pt idx="615">
                  <c:v>745.87074281998321</c:v>
                </c:pt>
                <c:pt idx="616">
                  <c:v>745.87074281998321</c:v>
                </c:pt>
                <c:pt idx="617">
                  <c:v>745.87074281998321</c:v>
                </c:pt>
                <c:pt idx="618">
                  <c:v>745.87074281998321</c:v>
                </c:pt>
                <c:pt idx="619">
                  <c:v>745.87074281998321</c:v>
                </c:pt>
                <c:pt idx="620">
                  <c:v>745.87074281998321</c:v>
                </c:pt>
                <c:pt idx="621">
                  <c:v>745.87074281998321</c:v>
                </c:pt>
                <c:pt idx="622">
                  <c:v>745.87074281998321</c:v>
                </c:pt>
                <c:pt idx="623">
                  <c:v>745.87074281998321</c:v>
                </c:pt>
                <c:pt idx="624">
                  <c:v>745.87074281998321</c:v>
                </c:pt>
                <c:pt idx="625">
                  <c:v>745.87074281998321</c:v>
                </c:pt>
                <c:pt idx="626">
                  <c:v>745.87074281998321</c:v>
                </c:pt>
                <c:pt idx="627">
                  <c:v>745.87074281998321</c:v>
                </c:pt>
                <c:pt idx="628">
                  <c:v>745.87074281998321</c:v>
                </c:pt>
                <c:pt idx="629">
                  <c:v>745.87074281998321</c:v>
                </c:pt>
                <c:pt idx="630">
                  <c:v>745.87074281998321</c:v>
                </c:pt>
                <c:pt idx="631">
                  <c:v>745.87074281998321</c:v>
                </c:pt>
                <c:pt idx="632">
                  <c:v>745.87074281998321</c:v>
                </c:pt>
                <c:pt idx="633">
                  <c:v>745.87074281998321</c:v>
                </c:pt>
                <c:pt idx="634">
                  <c:v>745.87074281998321</c:v>
                </c:pt>
                <c:pt idx="635">
                  <c:v>745.87074281998321</c:v>
                </c:pt>
                <c:pt idx="636">
                  <c:v>745.87074281998321</c:v>
                </c:pt>
                <c:pt idx="637">
                  <c:v>745.87074281998321</c:v>
                </c:pt>
                <c:pt idx="638">
                  <c:v>745.87074281998321</c:v>
                </c:pt>
                <c:pt idx="639">
                  <c:v>745.87074281998321</c:v>
                </c:pt>
                <c:pt idx="640">
                  <c:v>745.87074281998321</c:v>
                </c:pt>
                <c:pt idx="641">
                  <c:v>745.87074281998321</c:v>
                </c:pt>
                <c:pt idx="642">
                  <c:v>745.87074281998321</c:v>
                </c:pt>
                <c:pt idx="643">
                  <c:v>745.87074281998321</c:v>
                </c:pt>
                <c:pt idx="644">
                  <c:v>745.87074281998321</c:v>
                </c:pt>
                <c:pt idx="645">
                  <c:v>745.87074281998321</c:v>
                </c:pt>
                <c:pt idx="646">
                  <c:v>745.87074281998321</c:v>
                </c:pt>
                <c:pt idx="647">
                  <c:v>745.87074281998321</c:v>
                </c:pt>
                <c:pt idx="648">
                  <c:v>745.87074281998321</c:v>
                </c:pt>
                <c:pt idx="649">
                  <c:v>745.87074281998321</c:v>
                </c:pt>
                <c:pt idx="650">
                  <c:v>745.87074281998321</c:v>
                </c:pt>
                <c:pt idx="651">
                  <c:v>745.87074281998321</c:v>
                </c:pt>
                <c:pt idx="652">
                  <c:v>745.87074281998321</c:v>
                </c:pt>
                <c:pt idx="653">
                  <c:v>745.87074281998321</c:v>
                </c:pt>
                <c:pt idx="654">
                  <c:v>745.87074281998321</c:v>
                </c:pt>
                <c:pt idx="655">
                  <c:v>745.87074281998321</c:v>
                </c:pt>
                <c:pt idx="656">
                  <c:v>745.87074281998321</c:v>
                </c:pt>
                <c:pt idx="657">
                  <c:v>745.87074281998321</c:v>
                </c:pt>
                <c:pt idx="658">
                  <c:v>745.87074281998321</c:v>
                </c:pt>
                <c:pt idx="659">
                  <c:v>745.87074281998321</c:v>
                </c:pt>
                <c:pt idx="660">
                  <c:v>745.87074281998321</c:v>
                </c:pt>
                <c:pt idx="661">
                  <c:v>745.87074281998321</c:v>
                </c:pt>
                <c:pt idx="662">
                  <c:v>745.87074281998321</c:v>
                </c:pt>
                <c:pt idx="663">
                  <c:v>745.87074281998321</c:v>
                </c:pt>
                <c:pt idx="664">
                  <c:v>745.87074281998321</c:v>
                </c:pt>
                <c:pt idx="665">
                  <c:v>745.87074281998321</c:v>
                </c:pt>
                <c:pt idx="666">
                  <c:v>745.87074281998321</c:v>
                </c:pt>
                <c:pt idx="667">
                  <c:v>745.87074281998321</c:v>
                </c:pt>
                <c:pt idx="668">
                  <c:v>745.87074281998321</c:v>
                </c:pt>
                <c:pt idx="669">
                  <c:v>745.87074281998321</c:v>
                </c:pt>
                <c:pt idx="670">
                  <c:v>745.87074281998321</c:v>
                </c:pt>
                <c:pt idx="671">
                  <c:v>745.87074281998321</c:v>
                </c:pt>
                <c:pt idx="672">
                  <c:v>745.87074281998321</c:v>
                </c:pt>
                <c:pt idx="673">
                  <c:v>745.87074281998321</c:v>
                </c:pt>
                <c:pt idx="674">
                  <c:v>745.87074281998321</c:v>
                </c:pt>
                <c:pt idx="675">
                  <c:v>745.87074281998321</c:v>
                </c:pt>
                <c:pt idx="676">
                  <c:v>745.87074281998321</c:v>
                </c:pt>
                <c:pt idx="677">
                  <c:v>745.87074281998321</c:v>
                </c:pt>
                <c:pt idx="678">
                  <c:v>745.87074281998321</c:v>
                </c:pt>
                <c:pt idx="679">
                  <c:v>745.87074281998321</c:v>
                </c:pt>
                <c:pt idx="680">
                  <c:v>745.87074281998321</c:v>
                </c:pt>
                <c:pt idx="681">
                  <c:v>745.87074281998321</c:v>
                </c:pt>
                <c:pt idx="682">
                  <c:v>745.87074281998321</c:v>
                </c:pt>
                <c:pt idx="683">
                  <c:v>745.87074281998321</c:v>
                </c:pt>
                <c:pt idx="684">
                  <c:v>745.87074281998321</c:v>
                </c:pt>
                <c:pt idx="685">
                  <c:v>745.87074281998321</c:v>
                </c:pt>
                <c:pt idx="686">
                  <c:v>745.87074281998321</c:v>
                </c:pt>
                <c:pt idx="687">
                  <c:v>745.87074281998321</c:v>
                </c:pt>
                <c:pt idx="688">
                  <c:v>745.87074281998321</c:v>
                </c:pt>
                <c:pt idx="689">
                  <c:v>745.87074281998321</c:v>
                </c:pt>
                <c:pt idx="690">
                  <c:v>745.87074281998321</c:v>
                </c:pt>
                <c:pt idx="691">
                  <c:v>745.87074281998321</c:v>
                </c:pt>
                <c:pt idx="692">
                  <c:v>745.87074281998321</c:v>
                </c:pt>
                <c:pt idx="693">
                  <c:v>745.87074281998321</c:v>
                </c:pt>
                <c:pt idx="694">
                  <c:v>745.87074281998321</c:v>
                </c:pt>
                <c:pt idx="695">
                  <c:v>745.87074281998321</c:v>
                </c:pt>
                <c:pt idx="696">
                  <c:v>745.87074281998321</c:v>
                </c:pt>
                <c:pt idx="697">
                  <c:v>745.87074281998321</c:v>
                </c:pt>
                <c:pt idx="698">
                  <c:v>745.87074281998321</c:v>
                </c:pt>
                <c:pt idx="699">
                  <c:v>745.87074281998321</c:v>
                </c:pt>
                <c:pt idx="700">
                  <c:v>745.87074281998321</c:v>
                </c:pt>
                <c:pt idx="701">
                  <c:v>745.87074281998321</c:v>
                </c:pt>
                <c:pt idx="702">
                  <c:v>745.87074281998321</c:v>
                </c:pt>
                <c:pt idx="703">
                  <c:v>745.87074281998321</c:v>
                </c:pt>
                <c:pt idx="704">
                  <c:v>745.87074281998321</c:v>
                </c:pt>
                <c:pt idx="705">
                  <c:v>745.87074281998321</c:v>
                </c:pt>
                <c:pt idx="706">
                  <c:v>745.87074281998321</c:v>
                </c:pt>
                <c:pt idx="707">
                  <c:v>745.87074281998321</c:v>
                </c:pt>
                <c:pt idx="708">
                  <c:v>745.87074281998321</c:v>
                </c:pt>
                <c:pt idx="709">
                  <c:v>745.87074281998321</c:v>
                </c:pt>
                <c:pt idx="710">
                  <c:v>745.87074281998321</c:v>
                </c:pt>
                <c:pt idx="711">
                  <c:v>745.87074281998321</c:v>
                </c:pt>
                <c:pt idx="712">
                  <c:v>745.87074281998321</c:v>
                </c:pt>
                <c:pt idx="713">
                  <c:v>745.87074281998321</c:v>
                </c:pt>
                <c:pt idx="714">
                  <c:v>745.87074281998321</c:v>
                </c:pt>
                <c:pt idx="715">
                  <c:v>745.87074281998321</c:v>
                </c:pt>
                <c:pt idx="716">
                  <c:v>745.87074281998321</c:v>
                </c:pt>
                <c:pt idx="717">
                  <c:v>745.87074281998321</c:v>
                </c:pt>
                <c:pt idx="718">
                  <c:v>745.87074281998321</c:v>
                </c:pt>
                <c:pt idx="719">
                  <c:v>745.87074281998321</c:v>
                </c:pt>
                <c:pt idx="720">
                  <c:v>745.87074281998321</c:v>
                </c:pt>
                <c:pt idx="721">
                  <c:v>745.87074281998321</c:v>
                </c:pt>
                <c:pt idx="722">
                  <c:v>745.87074281998321</c:v>
                </c:pt>
                <c:pt idx="723">
                  <c:v>745.87074281998321</c:v>
                </c:pt>
                <c:pt idx="724">
                  <c:v>745.87074281998321</c:v>
                </c:pt>
                <c:pt idx="725">
                  <c:v>745.87074281998321</c:v>
                </c:pt>
                <c:pt idx="726">
                  <c:v>745.87074281998321</c:v>
                </c:pt>
                <c:pt idx="727">
                  <c:v>745.87074281998321</c:v>
                </c:pt>
                <c:pt idx="728">
                  <c:v>745.87074281998321</c:v>
                </c:pt>
                <c:pt idx="729">
                  <c:v>745.87074281998321</c:v>
                </c:pt>
                <c:pt idx="730">
                  <c:v>745.87074281998321</c:v>
                </c:pt>
                <c:pt idx="731">
                  <c:v>745.87074281998321</c:v>
                </c:pt>
                <c:pt idx="732">
                  <c:v>745.87074281998321</c:v>
                </c:pt>
                <c:pt idx="733">
                  <c:v>745.87074281998321</c:v>
                </c:pt>
                <c:pt idx="734">
                  <c:v>745.87074281998321</c:v>
                </c:pt>
                <c:pt idx="735">
                  <c:v>745.87074281998321</c:v>
                </c:pt>
                <c:pt idx="736">
                  <c:v>745.87074281998321</c:v>
                </c:pt>
                <c:pt idx="737">
                  <c:v>745.87074281998321</c:v>
                </c:pt>
                <c:pt idx="738">
                  <c:v>745.87074281998321</c:v>
                </c:pt>
                <c:pt idx="739">
                  <c:v>745.87074281998321</c:v>
                </c:pt>
                <c:pt idx="740">
                  <c:v>745.87074281998321</c:v>
                </c:pt>
                <c:pt idx="741">
                  <c:v>745.87074281998321</c:v>
                </c:pt>
                <c:pt idx="742">
                  <c:v>745.87074281998321</c:v>
                </c:pt>
                <c:pt idx="743">
                  <c:v>745.87074281998321</c:v>
                </c:pt>
                <c:pt idx="744">
                  <c:v>745.87074281998321</c:v>
                </c:pt>
                <c:pt idx="745">
                  <c:v>745.87074281998321</c:v>
                </c:pt>
                <c:pt idx="746">
                  <c:v>745.87074281998321</c:v>
                </c:pt>
                <c:pt idx="747">
                  <c:v>745.87074281998321</c:v>
                </c:pt>
                <c:pt idx="748">
                  <c:v>745.87074281998321</c:v>
                </c:pt>
                <c:pt idx="749">
                  <c:v>745.87074281998321</c:v>
                </c:pt>
                <c:pt idx="750">
                  <c:v>745.87074281998321</c:v>
                </c:pt>
                <c:pt idx="751">
                  <c:v>745.87074281998321</c:v>
                </c:pt>
                <c:pt idx="752">
                  <c:v>745.87074281998321</c:v>
                </c:pt>
                <c:pt idx="753">
                  <c:v>745.87074281998321</c:v>
                </c:pt>
                <c:pt idx="754">
                  <c:v>745.87074281998321</c:v>
                </c:pt>
                <c:pt idx="755">
                  <c:v>745.87074281998321</c:v>
                </c:pt>
                <c:pt idx="756">
                  <c:v>745.87074281998321</c:v>
                </c:pt>
                <c:pt idx="757">
                  <c:v>745.87074281998321</c:v>
                </c:pt>
                <c:pt idx="758">
                  <c:v>745.87074281998321</c:v>
                </c:pt>
                <c:pt idx="759">
                  <c:v>745.87074281998321</c:v>
                </c:pt>
                <c:pt idx="760">
                  <c:v>745.87074281998321</c:v>
                </c:pt>
                <c:pt idx="761">
                  <c:v>745.87074281998321</c:v>
                </c:pt>
                <c:pt idx="762">
                  <c:v>745.87074281998321</c:v>
                </c:pt>
                <c:pt idx="763">
                  <c:v>745.87074281998321</c:v>
                </c:pt>
                <c:pt idx="764">
                  <c:v>745.87074281998321</c:v>
                </c:pt>
                <c:pt idx="765">
                  <c:v>745.87074281998321</c:v>
                </c:pt>
                <c:pt idx="766">
                  <c:v>745.87074281998321</c:v>
                </c:pt>
                <c:pt idx="767">
                  <c:v>745.87074281998321</c:v>
                </c:pt>
                <c:pt idx="768">
                  <c:v>745.87074281998321</c:v>
                </c:pt>
                <c:pt idx="769">
                  <c:v>745.87074281998321</c:v>
                </c:pt>
                <c:pt idx="770">
                  <c:v>745.87074281998321</c:v>
                </c:pt>
                <c:pt idx="771">
                  <c:v>745.87074281998321</c:v>
                </c:pt>
                <c:pt idx="772">
                  <c:v>745.87074281998321</c:v>
                </c:pt>
                <c:pt idx="773">
                  <c:v>745.87074281998321</c:v>
                </c:pt>
                <c:pt idx="774">
                  <c:v>745.87074281998321</c:v>
                </c:pt>
                <c:pt idx="775">
                  <c:v>745.87074281998321</c:v>
                </c:pt>
                <c:pt idx="776">
                  <c:v>745.87074281998321</c:v>
                </c:pt>
                <c:pt idx="777">
                  <c:v>745.87074281998321</c:v>
                </c:pt>
                <c:pt idx="778">
                  <c:v>745.87074281998321</c:v>
                </c:pt>
                <c:pt idx="779">
                  <c:v>745.87074281998321</c:v>
                </c:pt>
                <c:pt idx="780">
                  <c:v>745.87074281998321</c:v>
                </c:pt>
                <c:pt idx="781">
                  <c:v>745.87074281998321</c:v>
                </c:pt>
                <c:pt idx="782">
                  <c:v>745.87074281998321</c:v>
                </c:pt>
                <c:pt idx="783">
                  <c:v>745.87074281998321</c:v>
                </c:pt>
                <c:pt idx="784">
                  <c:v>745.87074281998321</c:v>
                </c:pt>
                <c:pt idx="785">
                  <c:v>745.87074281998321</c:v>
                </c:pt>
                <c:pt idx="786">
                  <c:v>745.87074281998321</c:v>
                </c:pt>
                <c:pt idx="787">
                  <c:v>745.87074281998321</c:v>
                </c:pt>
                <c:pt idx="788">
                  <c:v>745.87074281998321</c:v>
                </c:pt>
                <c:pt idx="789">
                  <c:v>745.87074281998321</c:v>
                </c:pt>
                <c:pt idx="790">
                  <c:v>745.87074281998321</c:v>
                </c:pt>
                <c:pt idx="791">
                  <c:v>745.87074281998321</c:v>
                </c:pt>
                <c:pt idx="792">
                  <c:v>745.87074281998321</c:v>
                </c:pt>
                <c:pt idx="793">
                  <c:v>745.87074281998321</c:v>
                </c:pt>
                <c:pt idx="794">
                  <c:v>745.87074281998321</c:v>
                </c:pt>
                <c:pt idx="795">
                  <c:v>745.87074281998321</c:v>
                </c:pt>
                <c:pt idx="796">
                  <c:v>745.87074281998321</c:v>
                </c:pt>
                <c:pt idx="797">
                  <c:v>745.87074281998321</c:v>
                </c:pt>
                <c:pt idx="798">
                  <c:v>745.87074281998321</c:v>
                </c:pt>
                <c:pt idx="799">
                  <c:v>745.87074281998321</c:v>
                </c:pt>
                <c:pt idx="800">
                  <c:v>745.87074281998321</c:v>
                </c:pt>
                <c:pt idx="801">
                  <c:v>745.87074281998321</c:v>
                </c:pt>
                <c:pt idx="802">
                  <c:v>745.87074281998321</c:v>
                </c:pt>
                <c:pt idx="803">
                  <c:v>745.87074281998321</c:v>
                </c:pt>
                <c:pt idx="804">
                  <c:v>745.87074281998321</c:v>
                </c:pt>
                <c:pt idx="805">
                  <c:v>745.87074281998321</c:v>
                </c:pt>
                <c:pt idx="806">
                  <c:v>745.87074281998321</c:v>
                </c:pt>
                <c:pt idx="807">
                  <c:v>745.87074281998321</c:v>
                </c:pt>
                <c:pt idx="808">
                  <c:v>745.87074281998321</c:v>
                </c:pt>
                <c:pt idx="809">
                  <c:v>745.87074281998321</c:v>
                </c:pt>
                <c:pt idx="810">
                  <c:v>745.87074281998321</c:v>
                </c:pt>
                <c:pt idx="811">
                  <c:v>745.87074281998321</c:v>
                </c:pt>
                <c:pt idx="812">
                  <c:v>745.87074281998321</c:v>
                </c:pt>
                <c:pt idx="813">
                  <c:v>745.87074281998321</c:v>
                </c:pt>
                <c:pt idx="814">
                  <c:v>745.87074281998321</c:v>
                </c:pt>
                <c:pt idx="815">
                  <c:v>745.87074281998321</c:v>
                </c:pt>
                <c:pt idx="816">
                  <c:v>745.87074281998321</c:v>
                </c:pt>
                <c:pt idx="817">
                  <c:v>745.87074281998321</c:v>
                </c:pt>
                <c:pt idx="818">
                  <c:v>745.87074281998321</c:v>
                </c:pt>
                <c:pt idx="819">
                  <c:v>745.87074281998321</c:v>
                </c:pt>
                <c:pt idx="820">
                  <c:v>745.87074281998321</c:v>
                </c:pt>
                <c:pt idx="821">
                  <c:v>745.87074281998321</c:v>
                </c:pt>
                <c:pt idx="822">
                  <c:v>745.87074281998321</c:v>
                </c:pt>
                <c:pt idx="823">
                  <c:v>745.87074281998321</c:v>
                </c:pt>
                <c:pt idx="824">
                  <c:v>745.87074281998321</c:v>
                </c:pt>
                <c:pt idx="825">
                  <c:v>745.87074281998321</c:v>
                </c:pt>
                <c:pt idx="826">
                  <c:v>745.87074281998321</c:v>
                </c:pt>
                <c:pt idx="827">
                  <c:v>745.87074281998321</c:v>
                </c:pt>
                <c:pt idx="828">
                  <c:v>745.87074281998321</c:v>
                </c:pt>
                <c:pt idx="829">
                  <c:v>745.87074281998321</c:v>
                </c:pt>
                <c:pt idx="830">
                  <c:v>745.87074281998321</c:v>
                </c:pt>
                <c:pt idx="831">
                  <c:v>745.87074281998321</c:v>
                </c:pt>
                <c:pt idx="832">
                  <c:v>745.87074281998321</c:v>
                </c:pt>
                <c:pt idx="833">
                  <c:v>745.87074281998321</c:v>
                </c:pt>
                <c:pt idx="834">
                  <c:v>745.87074281998321</c:v>
                </c:pt>
                <c:pt idx="835">
                  <c:v>745.87074281998321</c:v>
                </c:pt>
                <c:pt idx="836">
                  <c:v>745.87074281998321</c:v>
                </c:pt>
                <c:pt idx="837">
                  <c:v>745.87074281998321</c:v>
                </c:pt>
                <c:pt idx="838">
                  <c:v>745.87074281998321</c:v>
                </c:pt>
                <c:pt idx="839">
                  <c:v>745.87074281998321</c:v>
                </c:pt>
                <c:pt idx="840">
                  <c:v>745.87074281998321</c:v>
                </c:pt>
                <c:pt idx="841">
                  <c:v>745.87074281998321</c:v>
                </c:pt>
                <c:pt idx="842">
                  <c:v>745.87074281998321</c:v>
                </c:pt>
                <c:pt idx="843">
                  <c:v>745.87074281998321</c:v>
                </c:pt>
                <c:pt idx="844">
                  <c:v>745.87074281998321</c:v>
                </c:pt>
                <c:pt idx="845">
                  <c:v>745.87074281998321</c:v>
                </c:pt>
                <c:pt idx="846">
                  <c:v>745.87074281998321</c:v>
                </c:pt>
                <c:pt idx="847">
                  <c:v>745.87074281998321</c:v>
                </c:pt>
                <c:pt idx="848">
                  <c:v>745.87074281998321</c:v>
                </c:pt>
                <c:pt idx="849">
                  <c:v>745.87074281998321</c:v>
                </c:pt>
                <c:pt idx="850">
                  <c:v>745.87074281998321</c:v>
                </c:pt>
                <c:pt idx="851">
                  <c:v>745.87074281998321</c:v>
                </c:pt>
                <c:pt idx="852">
                  <c:v>745.87074281998321</c:v>
                </c:pt>
                <c:pt idx="853">
                  <c:v>745.87074281998321</c:v>
                </c:pt>
                <c:pt idx="854">
                  <c:v>745.87074281998321</c:v>
                </c:pt>
                <c:pt idx="855">
                  <c:v>745.87074281998321</c:v>
                </c:pt>
                <c:pt idx="856">
                  <c:v>745.87074281998321</c:v>
                </c:pt>
                <c:pt idx="857">
                  <c:v>745.87074281998321</c:v>
                </c:pt>
                <c:pt idx="858">
                  <c:v>745.87074281998321</c:v>
                </c:pt>
                <c:pt idx="859">
                  <c:v>745.87074281998321</c:v>
                </c:pt>
                <c:pt idx="860">
                  <c:v>745.87074281998321</c:v>
                </c:pt>
                <c:pt idx="861">
                  <c:v>745.87074281998321</c:v>
                </c:pt>
                <c:pt idx="862">
                  <c:v>745.87074281998321</c:v>
                </c:pt>
                <c:pt idx="863">
                  <c:v>745.87074281998321</c:v>
                </c:pt>
                <c:pt idx="864">
                  <c:v>745.87074281998321</c:v>
                </c:pt>
                <c:pt idx="865">
                  <c:v>745.87074281998321</c:v>
                </c:pt>
                <c:pt idx="866">
                  <c:v>745.87074281998321</c:v>
                </c:pt>
                <c:pt idx="867">
                  <c:v>745.87074281998321</c:v>
                </c:pt>
                <c:pt idx="868">
                  <c:v>745.87074281998321</c:v>
                </c:pt>
                <c:pt idx="869">
                  <c:v>745.87074281998321</c:v>
                </c:pt>
                <c:pt idx="870">
                  <c:v>745.87074281998321</c:v>
                </c:pt>
                <c:pt idx="871">
                  <c:v>745.87074281998321</c:v>
                </c:pt>
                <c:pt idx="872">
                  <c:v>745.87074281998321</c:v>
                </c:pt>
                <c:pt idx="873">
                  <c:v>745.87074281998321</c:v>
                </c:pt>
                <c:pt idx="874">
                  <c:v>745.87074281998321</c:v>
                </c:pt>
                <c:pt idx="875">
                  <c:v>745.87074281998321</c:v>
                </c:pt>
                <c:pt idx="876">
                  <c:v>745.87074281998321</c:v>
                </c:pt>
                <c:pt idx="877">
                  <c:v>745.87074281998321</c:v>
                </c:pt>
                <c:pt idx="878">
                  <c:v>745.87074281998321</c:v>
                </c:pt>
                <c:pt idx="879">
                  <c:v>745.87074281998321</c:v>
                </c:pt>
                <c:pt idx="880">
                  <c:v>745.87074281998321</c:v>
                </c:pt>
                <c:pt idx="881">
                  <c:v>745.87074281998321</c:v>
                </c:pt>
                <c:pt idx="882">
                  <c:v>745.87074281998321</c:v>
                </c:pt>
                <c:pt idx="883">
                  <c:v>745.87074281998321</c:v>
                </c:pt>
                <c:pt idx="884">
                  <c:v>745.87074281998321</c:v>
                </c:pt>
                <c:pt idx="885">
                  <c:v>745.87074281998321</c:v>
                </c:pt>
                <c:pt idx="886">
                  <c:v>745.87074281998321</c:v>
                </c:pt>
                <c:pt idx="887">
                  <c:v>745.87074281998321</c:v>
                </c:pt>
                <c:pt idx="888">
                  <c:v>745.87074281998321</c:v>
                </c:pt>
                <c:pt idx="889">
                  <c:v>745.87074281998321</c:v>
                </c:pt>
                <c:pt idx="890">
                  <c:v>745.87074281998321</c:v>
                </c:pt>
                <c:pt idx="891">
                  <c:v>745.87074281998321</c:v>
                </c:pt>
                <c:pt idx="892">
                  <c:v>745.87074281998321</c:v>
                </c:pt>
                <c:pt idx="893">
                  <c:v>745.87074281998321</c:v>
                </c:pt>
                <c:pt idx="894">
                  <c:v>745.87074281998321</c:v>
                </c:pt>
                <c:pt idx="895">
                  <c:v>745.87074281998321</c:v>
                </c:pt>
                <c:pt idx="896">
                  <c:v>745.87074281998321</c:v>
                </c:pt>
                <c:pt idx="897">
                  <c:v>745.87074281998321</c:v>
                </c:pt>
                <c:pt idx="898">
                  <c:v>745.87074281998321</c:v>
                </c:pt>
                <c:pt idx="899">
                  <c:v>745.87074281998321</c:v>
                </c:pt>
                <c:pt idx="900">
                  <c:v>745.87074281998321</c:v>
                </c:pt>
                <c:pt idx="901">
                  <c:v>745.87074281998321</c:v>
                </c:pt>
                <c:pt idx="902">
                  <c:v>745.87074281998321</c:v>
                </c:pt>
                <c:pt idx="903">
                  <c:v>745.87074281998321</c:v>
                </c:pt>
                <c:pt idx="904">
                  <c:v>745.87074281998321</c:v>
                </c:pt>
                <c:pt idx="905">
                  <c:v>745.87074281998321</c:v>
                </c:pt>
                <c:pt idx="906">
                  <c:v>745.87074281998321</c:v>
                </c:pt>
                <c:pt idx="907">
                  <c:v>745.87074281998321</c:v>
                </c:pt>
                <c:pt idx="908">
                  <c:v>745.87074281998321</c:v>
                </c:pt>
                <c:pt idx="909">
                  <c:v>745.87074281998321</c:v>
                </c:pt>
                <c:pt idx="910">
                  <c:v>745.87074281998321</c:v>
                </c:pt>
                <c:pt idx="911">
                  <c:v>745.87074281998321</c:v>
                </c:pt>
                <c:pt idx="912">
                  <c:v>745.87074281998321</c:v>
                </c:pt>
                <c:pt idx="913">
                  <c:v>745.87074281998321</c:v>
                </c:pt>
                <c:pt idx="914">
                  <c:v>745.87074281998321</c:v>
                </c:pt>
                <c:pt idx="915">
                  <c:v>745.87074281998321</c:v>
                </c:pt>
                <c:pt idx="916">
                  <c:v>745.87074281998321</c:v>
                </c:pt>
                <c:pt idx="917">
                  <c:v>745.87074281998321</c:v>
                </c:pt>
                <c:pt idx="918">
                  <c:v>745.87074281998321</c:v>
                </c:pt>
                <c:pt idx="919">
                  <c:v>745.87074281998321</c:v>
                </c:pt>
                <c:pt idx="920">
                  <c:v>745.87074281998321</c:v>
                </c:pt>
                <c:pt idx="921">
                  <c:v>745.87074281998321</c:v>
                </c:pt>
                <c:pt idx="922">
                  <c:v>745.87074281998321</c:v>
                </c:pt>
                <c:pt idx="923">
                  <c:v>745.87074281998321</c:v>
                </c:pt>
                <c:pt idx="924">
                  <c:v>745.87074281998321</c:v>
                </c:pt>
                <c:pt idx="925">
                  <c:v>745.87074281998321</c:v>
                </c:pt>
                <c:pt idx="926">
                  <c:v>745.87074281998321</c:v>
                </c:pt>
                <c:pt idx="927">
                  <c:v>745.87074281998321</c:v>
                </c:pt>
                <c:pt idx="928">
                  <c:v>745.87074281998321</c:v>
                </c:pt>
                <c:pt idx="929">
                  <c:v>745.87074281998321</c:v>
                </c:pt>
                <c:pt idx="930">
                  <c:v>745.87074281998321</c:v>
                </c:pt>
                <c:pt idx="931">
                  <c:v>745.87074281998321</c:v>
                </c:pt>
                <c:pt idx="932">
                  <c:v>745.87074281998321</c:v>
                </c:pt>
                <c:pt idx="933">
                  <c:v>745.87074281998321</c:v>
                </c:pt>
                <c:pt idx="934">
                  <c:v>745.87074281998321</c:v>
                </c:pt>
                <c:pt idx="935">
                  <c:v>745.87074281998321</c:v>
                </c:pt>
                <c:pt idx="936">
                  <c:v>745.87074281998321</c:v>
                </c:pt>
                <c:pt idx="937">
                  <c:v>745.87074281998321</c:v>
                </c:pt>
                <c:pt idx="938">
                  <c:v>745.87074281998321</c:v>
                </c:pt>
                <c:pt idx="939">
                  <c:v>745.87074281998321</c:v>
                </c:pt>
                <c:pt idx="940">
                  <c:v>745.87074281998321</c:v>
                </c:pt>
                <c:pt idx="941">
                  <c:v>745.87074281998321</c:v>
                </c:pt>
                <c:pt idx="942">
                  <c:v>745.87074281998321</c:v>
                </c:pt>
                <c:pt idx="943">
                  <c:v>745.87074281998321</c:v>
                </c:pt>
                <c:pt idx="944">
                  <c:v>745.87074281998321</c:v>
                </c:pt>
                <c:pt idx="945">
                  <c:v>745.87074281998321</c:v>
                </c:pt>
                <c:pt idx="946">
                  <c:v>745.87074281998321</c:v>
                </c:pt>
                <c:pt idx="947">
                  <c:v>745.87074281998321</c:v>
                </c:pt>
                <c:pt idx="948">
                  <c:v>745.87074281998321</c:v>
                </c:pt>
                <c:pt idx="949">
                  <c:v>745.87074281998321</c:v>
                </c:pt>
                <c:pt idx="950">
                  <c:v>745.87074281998321</c:v>
                </c:pt>
                <c:pt idx="951">
                  <c:v>745.87074281998321</c:v>
                </c:pt>
                <c:pt idx="952">
                  <c:v>745.87074281998321</c:v>
                </c:pt>
                <c:pt idx="953">
                  <c:v>745.87074281998321</c:v>
                </c:pt>
                <c:pt idx="954">
                  <c:v>745.87074281998321</c:v>
                </c:pt>
                <c:pt idx="955">
                  <c:v>745.87074281998321</c:v>
                </c:pt>
                <c:pt idx="956">
                  <c:v>745.87074281998321</c:v>
                </c:pt>
                <c:pt idx="957">
                  <c:v>745.87074281998321</c:v>
                </c:pt>
                <c:pt idx="958">
                  <c:v>745.87074281998321</c:v>
                </c:pt>
                <c:pt idx="959">
                  <c:v>745.87074281998321</c:v>
                </c:pt>
                <c:pt idx="960">
                  <c:v>745.87074281998321</c:v>
                </c:pt>
                <c:pt idx="961">
                  <c:v>745.87074281998321</c:v>
                </c:pt>
                <c:pt idx="962">
                  <c:v>745.87074281998321</c:v>
                </c:pt>
                <c:pt idx="963">
                  <c:v>745.87074281998321</c:v>
                </c:pt>
                <c:pt idx="964">
                  <c:v>745.87074281998321</c:v>
                </c:pt>
                <c:pt idx="965">
                  <c:v>745.87074281998321</c:v>
                </c:pt>
                <c:pt idx="966">
                  <c:v>745.87074281998321</c:v>
                </c:pt>
                <c:pt idx="967">
                  <c:v>745.87074281998321</c:v>
                </c:pt>
                <c:pt idx="968">
                  <c:v>745.87074281998321</c:v>
                </c:pt>
                <c:pt idx="969">
                  <c:v>745.87074281998321</c:v>
                </c:pt>
                <c:pt idx="970">
                  <c:v>745.87074281998321</c:v>
                </c:pt>
                <c:pt idx="971">
                  <c:v>745.87074281998321</c:v>
                </c:pt>
                <c:pt idx="972">
                  <c:v>745.87074281998321</c:v>
                </c:pt>
                <c:pt idx="973">
                  <c:v>745.87074281998321</c:v>
                </c:pt>
                <c:pt idx="974">
                  <c:v>745.87074281998321</c:v>
                </c:pt>
                <c:pt idx="975">
                  <c:v>745.87074281998321</c:v>
                </c:pt>
                <c:pt idx="976">
                  <c:v>745.87074281998321</c:v>
                </c:pt>
                <c:pt idx="977">
                  <c:v>745.87074281998321</c:v>
                </c:pt>
                <c:pt idx="978">
                  <c:v>745.87074281998321</c:v>
                </c:pt>
                <c:pt idx="979">
                  <c:v>745.87074281998321</c:v>
                </c:pt>
                <c:pt idx="980">
                  <c:v>745.87074281998321</c:v>
                </c:pt>
                <c:pt idx="981">
                  <c:v>745.87074281998321</c:v>
                </c:pt>
                <c:pt idx="982">
                  <c:v>745.87074281998321</c:v>
                </c:pt>
                <c:pt idx="983">
                  <c:v>745.87074281998321</c:v>
                </c:pt>
                <c:pt idx="984">
                  <c:v>745.87074281998321</c:v>
                </c:pt>
                <c:pt idx="985">
                  <c:v>745.87074281998321</c:v>
                </c:pt>
                <c:pt idx="986">
                  <c:v>745.87074281998321</c:v>
                </c:pt>
                <c:pt idx="987">
                  <c:v>745.87074281998321</c:v>
                </c:pt>
                <c:pt idx="988">
                  <c:v>745.87074281998321</c:v>
                </c:pt>
                <c:pt idx="989">
                  <c:v>745.87074281998321</c:v>
                </c:pt>
                <c:pt idx="990">
                  <c:v>745.87074281998321</c:v>
                </c:pt>
                <c:pt idx="991">
                  <c:v>745.87074281998321</c:v>
                </c:pt>
                <c:pt idx="992">
                  <c:v>745.87074281998321</c:v>
                </c:pt>
                <c:pt idx="993">
                  <c:v>745.87074281998321</c:v>
                </c:pt>
                <c:pt idx="994">
                  <c:v>745.87074281998321</c:v>
                </c:pt>
                <c:pt idx="995">
                  <c:v>745.87074281998321</c:v>
                </c:pt>
                <c:pt idx="996">
                  <c:v>745.87074281998321</c:v>
                </c:pt>
                <c:pt idx="997">
                  <c:v>745.87074281998321</c:v>
                </c:pt>
                <c:pt idx="998">
                  <c:v>745.87074281998321</c:v>
                </c:pt>
                <c:pt idx="999">
                  <c:v>745.87074281998321</c:v>
                </c:pt>
                <c:pt idx="1000">
                  <c:v>745.87074281998321</c:v>
                </c:pt>
              </c:numCache>
            </c:numRef>
          </c:xVal>
          <c:yVal>
            <c:numRef>
              <c:f>Calculs!$AE$4:$AE$1004</c:f>
              <c:numCache>
                <c:formatCode>0</c:formatCode>
                <c:ptCount val="1001"/>
                <c:pt idx="0">
                  <c:v>497.16938386972515</c:v>
                </c:pt>
                <c:pt idx="1">
                  <c:v>498.89573959931016</c:v>
                </c:pt>
                <c:pt idx="2">
                  <c:v>500.62273167179706</c:v>
                </c:pt>
                <c:pt idx="3">
                  <c:v>502.35320005311092</c:v>
                </c:pt>
                <c:pt idx="4">
                  <c:v>504.08765724446886</c:v>
                </c:pt>
                <c:pt idx="5">
                  <c:v>505.82560681945085</c:v>
                </c:pt>
                <c:pt idx="6">
                  <c:v>507.56685996383527</c:v>
                </c:pt>
                <c:pt idx="7">
                  <c:v>509.31138158541756</c:v>
                </c:pt>
                <c:pt idx="8">
                  <c:v>511.05913664583966</c:v>
                </c:pt>
                <c:pt idx="9">
                  <c:v>512.81009016116366</c:v>
                </c:pt>
                <c:pt idx="10">
                  <c:v>514.56420720243705</c:v>
                </c:pt>
                <c:pt idx="11">
                  <c:v>516.32145289624896</c:v>
                </c:pt>
                <c:pt idx="12">
                  <c:v>518.08179242527808</c:v>
                </c:pt>
                <c:pt idx="13">
                  <c:v>519.84519102883144</c:v>
                </c:pt>
                <c:pt idx="14">
                  <c:v>521.61161400337528</c:v>
                </c:pt>
                <c:pt idx="15">
                  <c:v>523.38102670305636</c:v>
                </c:pt>
                <c:pt idx="16">
                  <c:v>525.1533945402158</c:v>
                </c:pt>
                <c:pt idx="17">
                  <c:v>526.92868298589349</c:v>
                </c:pt>
                <c:pt idx="18">
                  <c:v>528.70685757032436</c:v>
                </c:pt>
                <c:pt idx="19">
                  <c:v>530.48788388342643</c:v>
                </c:pt>
                <c:pt idx="20">
                  <c:v>532.27172757527978</c:v>
                </c:pt>
                <c:pt idx="21">
                  <c:v>534.05835435659776</c:v>
                </c:pt>
                <c:pt idx="22">
                  <c:v>535.84772999918926</c:v>
                </c:pt>
                <c:pt idx="23">
                  <c:v>537.63982033641309</c:v>
                </c:pt>
                <c:pt idx="24">
                  <c:v>539.43459126362404</c:v>
                </c:pt>
                <c:pt idx="25">
                  <c:v>541.23200873860992</c:v>
                </c:pt>
                <c:pt idx="26">
                  <c:v>543.03203878202157</c:v>
                </c:pt>
                <c:pt idx="27">
                  <c:v>544.83464747779362</c:v>
                </c:pt>
                <c:pt idx="28">
                  <c:v>546.63980097355761</c:v>
                </c:pt>
                <c:pt idx="29">
                  <c:v>548.44746548104706</c:v>
                </c:pt>
                <c:pt idx="30">
                  <c:v>550.2576072764939</c:v>
                </c:pt>
                <c:pt idx="31">
                  <c:v>552.07019270101739</c:v>
                </c:pt>
                <c:pt idx="32">
                  <c:v>553.88518816100498</c:v>
                </c:pt>
                <c:pt idx="33">
                  <c:v>555.70256012848495</c:v>
                </c:pt>
                <c:pt idx="34">
                  <c:v>557.52227514149126</c:v>
                </c:pt>
                <c:pt idx="35">
                  <c:v>559.34429980442042</c:v>
                </c:pt>
                <c:pt idx="36">
                  <c:v>561.16860078838067</c:v>
                </c:pt>
                <c:pt idx="37">
                  <c:v>562.99514483153337</c:v>
                </c:pt>
                <c:pt idx="38">
                  <c:v>564.82389873942645</c:v>
                </c:pt>
                <c:pt idx="39">
                  <c:v>566.65482938532023</c:v>
                </c:pt>
                <c:pt idx="40">
                  <c:v>568.48790371050552</c:v>
                </c:pt>
                <c:pt idx="41">
                  <c:v>570.32308872461442</c:v>
                </c:pt>
                <c:pt idx="42">
                  <c:v>572.1603515059229</c:v>
                </c:pt>
                <c:pt idx="43">
                  <c:v>573.99965920164652</c:v>
                </c:pt>
                <c:pt idx="44">
                  <c:v>575.84097902822828</c:v>
                </c:pt>
                <c:pt idx="45">
                  <c:v>577.68427827161906</c:v>
                </c:pt>
                <c:pt idx="46">
                  <c:v>579.52952428755066</c:v>
                </c:pt>
                <c:pt idx="47">
                  <c:v>581.37668450180161</c:v>
                </c:pt>
                <c:pt idx="48">
                  <c:v>583.22572641045554</c:v>
                </c:pt>
                <c:pt idx="49">
                  <c:v>585.07661758015252</c:v>
                </c:pt>
                <c:pt idx="50">
                  <c:v>586.92932564833291</c:v>
                </c:pt>
                <c:pt idx="51">
                  <c:v>588.78381832347418</c:v>
                </c:pt>
                <c:pt idx="52">
                  <c:v>590.64006338532056</c:v>
                </c:pt>
                <c:pt idx="53">
                  <c:v>592.49802868510585</c:v>
                </c:pt>
                <c:pt idx="54">
                  <c:v>594.35768214576876</c:v>
                </c:pt>
                <c:pt idx="55">
                  <c:v>596.21899176216198</c:v>
                </c:pt>
                <c:pt idx="56">
                  <c:v>598.08192560125349</c:v>
                </c:pt>
                <c:pt idx="57">
                  <c:v>599.94645180232192</c:v>
                </c:pt>
                <c:pt idx="58">
                  <c:v>601.81253857714432</c:v>
                </c:pt>
                <c:pt idx="59">
                  <c:v>603.68015421017753</c:v>
                </c:pt>
                <c:pt idx="60">
                  <c:v>605.54926705873288</c:v>
                </c:pt>
                <c:pt idx="61">
                  <c:v>607.41984555314411</c:v>
                </c:pt>
                <c:pt idx="62">
                  <c:v>609.29185819692862</c:v>
                </c:pt>
                <c:pt idx="63">
                  <c:v>611.16526021641982</c:v>
                </c:pt>
                <c:pt idx="64">
                  <c:v>613.03998023910196</c:v>
                </c:pt>
                <c:pt idx="65">
                  <c:v>614.91593370879411</c:v>
                </c:pt>
                <c:pt idx="66">
                  <c:v>616.79303627257457</c:v>
                </c:pt>
                <c:pt idx="67">
                  <c:v>618.67119154378247</c:v>
                </c:pt>
                <c:pt idx="68">
                  <c:v>620.55027889256962</c:v>
                </c:pt>
                <c:pt idx="69">
                  <c:v>622.43014398025457</c:v>
                </c:pt>
                <c:pt idx="70">
                  <c:v>624.3105893178938</c:v>
                </c:pt>
                <c:pt idx="71">
                  <c:v>626.19139614741255</c:v>
                </c:pt>
                <c:pt idx="72">
                  <c:v>628.07234627371463</c:v>
                </c:pt>
                <c:pt idx="73">
                  <c:v>629.95322207108086</c:v>
                </c:pt>
                <c:pt idx="74">
                  <c:v>631.83380648928471</c:v>
                </c:pt>
                <c:pt idx="75">
                  <c:v>633.71388305942742</c:v>
                </c:pt>
                <c:pt idx="76">
                  <c:v>635.5932358994944</c:v>
                </c:pt>
                <c:pt idx="77">
                  <c:v>637.47164971963605</c:v>
                </c:pt>
                <c:pt idx="78">
                  <c:v>639.34890982717468</c:v>
                </c:pt>
                <c:pt idx="79">
                  <c:v>641.22480213134043</c:v>
                </c:pt>
                <c:pt idx="80">
                  <c:v>643.09911314773831</c:v>
                </c:pt>
                <c:pt idx="81">
                  <c:v>644.9716558907736</c:v>
                </c:pt>
                <c:pt idx="82">
                  <c:v>646.84229569084152</c:v>
                </c:pt>
                <c:pt idx="83">
                  <c:v>648.71092415512294</c:v>
                </c:pt>
                <c:pt idx="84">
                  <c:v>650.57743320143447</c:v>
                </c:pt>
                <c:pt idx="85">
                  <c:v>652.44171505816939</c:v>
                </c:pt>
                <c:pt idx="86">
                  <c:v>654.30366226417652</c:v>
                </c:pt>
                <c:pt idx="87">
                  <c:v>656.16316766858006</c:v>
                </c:pt>
                <c:pt idx="88">
                  <c:v>658.020124430539</c:v>
                </c:pt>
                <c:pt idx="89">
                  <c:v>659.8744341973246</c:v>
                </c:pt>
                <c:pt idx="90">
                  <c:v>661.72601525758</c:v>
                </c:pt>
                <c:pt idx="91">
                  <c:v>663.57479431251056</c:v>
                </c:pt>
                <c:pt idx="92">
                  <c:v>665.42069827167882</c:v>
                </c:pt>
                <c:pt idx="93">
                  <c:v>667.26365629703207</c:v>
                </c:pt>
                <c:pt idx="94">
                  <c:v>669.10360184063438</c:v>
                </c:pt>
                <c:pt idx="95">
                  <c:v>670.9404705865926</c:v>
                </c:pt>
                <c:pt idx="96">
                  <c:v>672.77419839923891</c:v>
                </c:pt>
                <c:pt idx="97">
                  <c:v>674.6047295013326</c:v>
                </c:pt>
                <c:pt idx="98">
                  <c:v>676.43202462690215</c:v>
                </c:pt>
                <c:pt idx="99">
                  <c:v>678.25605279092724</c:v>
                </c:pt>
                <c:pt idx="100">
                  <c:v>680.07678308450363</c:v>
                </c:pt>
                <c:pt idx="101">
                  <c:v>681.89418467431676</c:v>
                </c:pt>
                <c:pt idx="102">
                  <c:v>683.70822680211359</c:v>
                </c:pt>
                <c:pt idx="103">
                  <c:v>685.51887878417324</c:v>
                </c:pt>
                <c:pt idx="104">
                  <c:v>687.32611001077612</c:v>
                </c:pt>
                <c:pt idx="105">
                  <c:v>689.12988994567115</c:v>
                </c:pt>
                <c:pt idx="106">
                  <c:v>690.93018812554192</c:v>
                </c:pt>
                <c:pt idx="107">
                  <c:v>692.72697415947118</c:v>
                </c:pt>
                <c:pt idx="108">
                  <c:v>694.52021772840419</c:v>
                </c:pt>
                <c:pt idx="109">
                  <c:v>696.30989880621405</c:v>
                </c:pt>
                <c:pt idx="110">
                  <c:v>698.09601784895585</c:v>
                </c:pt>
                <c:pt idx="111">
                  <c:v>699.87858550997441</c:v>
                </c:pt>
                <c:pt idx="112">
                  <c:v>701.6576123872843</c:v>
                </c:pt>
                <c:pt idx="113">
                  <c:v>703.43310902395137</c:v>
                </c:pt>
                <c:pt idx="114">
                  <c:v>705.20508590847032</c:v>
                </c:pt>
                <c:pt idx="115">
                  <c:v>706.97355347513962</c:v>
                </c:pt>
                <c:pt idx="116">
                  <c:v>708.73852210443295</c:v>
                </c:pt>
                <c:pt idx="117">
                  <c:v>710.50000212336715</c:v>
                </c:pt>
                <c:pt idx="118">
                  <c:v>712.25800380586782</c:v>
                </c:pt>
                <c:pt idx="119">
                  <c:v>714.01253737313061</c:v>
                </c:pt>
                <c:pt idx="120">
                  <c:v>715.7636129939807</c:v>
                </c:pt>
                <c:pt idx="121">
                  <c:v>717.5112407852281</c:v>
                </c:pt>
                <c:pt idx="122">
                  <c:v>719.25543081202034</c:v>
                </c:pt>
                <c:pt idx="123">
                  <c:v>720.99619308819263</c:v>
                </c:pt>
                <c:pt idx="124">
                  <c:v>722.73353757661425</c:v>
                </c:pt>
                <c:pt idx="125">
                  <c:v>724.46747418953225</c:v>
                </c:pt>
                <c:pt idx="126">
                  <c:v>726.19801278891248</c:v>
                </c:pt>
                <c:pt idx="127">
                  <c:v>727.92516318677758</c:v>
                </c:pt>
                <c:pt idx="128">
                  <c:v>729.64893514554217</c:v>
                </c:pt>
                <c:pt idx="129">
                  <c:v>731.36933837834488</c:v>
                </c:pt>
                <c:pt idx="130">
                  <c:v>733.08638254937807</c:v>
                </c:pt>
                <c:pt idx="131">
                  <c:v>734.80007727421435</c:v>
                </c:pt>
                <c:pt idx="132">
                  <c:v>736.51043212013087</c:v>
                </c:pt>
                <c:pt idx="133">
                  <c:v>738.21745660643023</c:v>
                </c:pt>
                <c:pt idx="134">
                  <c:v>739.92116020475919</c:v>
                </c:pt>
                <c:pt idx="135">
                  <c:v>741.62155233942462</c:v>
                </c:pt>
                <c:pt idx="136">
                  <c:v>743.31864238770663</c:v>
                </c:pt>
                <c:pt idx="137">
                  <c:v>745.01243968016945</c:v>
                </c:pt>
                <c:pt idx="138">
                  <c:v>746.70295350096933</c:v>
                </c:pt>
                <c:pt idx="139">
                  <c:v>748.39019308816012</c:v>
                </c:pt>
                <c:pt idx="140">
                  <c:v>750.07416763399613</c:v>
                </c:pt>
                <c:pt idx="141">
                  <c:v>751.75488628523283</c:v>
                </c:pt>
                <c:pt idx="142">
                  <c:v>753.43235814342472</c:v>
                </c:pt>
                <c:pt idx="143">
                  <c:v>755.10659226522091</c:v>
                </c:pt>
                <c:pt idx="144">
                  <c:v>756.77759766265831</c:v>
                </c:pt>
                <c:pt idx="145">
                  <c:v>758.44538330345199</c:v>
                </c:pt>
                <c:pt idx="146">
                  <c:v>760.10995811128396</c:v>
                </c:pt>
                <c:pt idx="147">
                  <c:v>761.77133096608884</c:v>
                </c:pt>
                <c:pt idx="148">
                  <c:v>763.42951070433753</c:v>
                </c:pt>
                <c:pt idx="149">
                  <c:v>765.08450611931846</c:v>
                </c:pt>
                <c:pt idx="150">
                  <c:v>766.73632596141681</c:v>
                </c:pt>
                <c:pt idx="151">
                  <c:v>768.38497893839099</c:v>
                </c:pt>
                <c:pt idx="152">
                  <c:v>770.0304737156473</c:v>
                </c:pt>
                <c:pt idx="153">
                  <c:v>771.67281891651214</c:v>
                </c:pt>
                <c:pt idx="154">
                  <c:v>773.31202312250218</c:v>
                </c:pt>
                <c:pt idx="155">
                  <c:v>774.94809487359191</c:v>
                </c:pt>
                <c:pt idx="156">
                  <c:v>776.58104266847965</c:v>
                </c:pt>
                <c:pt idx="157">
                  <c:v>778.2108749648512</c:v>
                </c:pt>
                <c:pt idx="158">
                  <c:v>779.83760017964096</c:v>
                </c:pt>
                <c:pt idx="159">
                  <c:v>781.46122668929161</c:v>
                </c:pt>
                <c:pt idx="160">
                  <c:v>783.08176283001126</c:v>
                </c:pt>
                <c:pt idx="161">
                  <c:v>784.69921689802857</c:v>
                </c:pt>
                <c:pt idx="162">
                  <c:v>786.31359714984615</c:v>
                </c:pt>
                <c:pt idx="163">
                  <c:v>787.92491180249147</c:v>
                </c:pt>
                <c:pt idx="164">
                  <c:v>789.53316903376628</c:v>
                </c:pt>
                <c:pt idx="165">
                  <c:v>791.13837698249358</c:v>
                </c:pt>
                <c:pt idx="166">
                  <c:v>792.74054374876289</c:v>
                </c:pt>
                <c:pt idx="167">
                  <c:v>794.33967739417358</c:v>
                </c:pt>
                <c:pt idx="168">
                  <c:v>795.93578594207611</c:v>
                </c:pt>
                <c:pt idx="169">
                  <c:v>797.52887737781168</c:v>
                </c:pt>
                <c:pt idx="170">
                  <c:v>799.11895964894961</c:v>
                </c:pt>
                <c:pt idx="171">
                  <c:v>800.70604066552289</c:v>
                </c:pt>
                <c:pt idx="172">
                  <c:v>802.29012830026238</c:v>
                </c:pt>
                <c:pt idx="173">
                  <c:v>803.87123038882839</c:v>
                </c:pt>
                <c:pt idx="174">
                  <c:v>805.44935473004125</c:v>
                </c:pt>
                <c:pt idx="175">
                  <c:v>807.02450908610933</c:v>
                </c:pt>
                <c:pt idx="176">
                  <c:v>808.5967011828559</c:v>
                </c:pt>
                <c:pt idx="177">
                  <c:v>810.1659387099437</c:v>
                </c:pt>
                <c:pt idx="178">
                  <c:v>811.73222932109832</c:v>
                </c:pt>
                <c:pt idx="179">
                  <c:v>813.29558063432921</c:v>
                </c:pt>
                <c:pt idx="180">
                  <c:v>814.85600023214954</c:v>
                </c:pt>
                <c:pt idx="181">
                  <c:v>816.41349566179395</c:v>
                </c:pt>
                <c:pt idx="182">
                  <c:v>817.96807443543491</c:v>
                </c:pt>
                <c:pt idx="183">
                  <c:v>819.51974403039719</c:v>
                </c:pt>
                <c:pt idx="184">
                  <c:v>821.06851188937071</c:v>
                </c:pt>
                <c:pt idx="185">
                  <c:v>822.61438542062194</c:v>
                </c:pt>
                <c:pt idx="186">
                  <c:v>824.15737199820353</c:v>
                </c:pt>
                <c:pt idx="187">
                  <c:v>825.69747896216211</c:v>
                </c:pt>
                <c:pt idx="188">
                  <c:v>827.23471361874499</c:v>
                </c:pt>
                <c:pt idx="189">
                  <c:v>828.76908324060491</c:v>
                </c:pt>
                <c:pt idx="190">
                  <c:v>830.30059506700343</c:v>
                </c:pt>
                <c:pt idx="191">
                  <c:v>831.82925630401223</c:v>
                </c:pt>
                <c:pt idx="192">
                  <c:v>833.35507412471395</c:v>
                </c:pt>
                <c:pt idx="193">
                  <c:v>834.87805566940051</c:v>
                </c:pt>
                <c:pt idx="194">
                  <c:v>836.39820804577016</c:v>
                </c:pt>
                <c:pt idx="195">
                  <c:v>837.91553832912325</c:v>
                </c:pt>
                <c:pt idx="196">
                  <c:v>839.43005356255674</c:v>
                </c:pt>
                <c:pt idx="197">
                  <c:v>840.94176075715643</c:v>
                </c:pt>
                <c:pt idx="198">
                  <c:v>842.45066689218856</c:v>
                </c:pt>
                <c:pt idx="199">
                  <c:v>843.95677891528931</c:v>
                </c:pt>
                <c:pt idx="200">
                  <c:v>845.46010374265359</c:v>
                </c:pt>
                <c:pt idx="201">
                  <c:v>860.34058948310269</c:v>
                </c:pt>
                <c:pt idx="202">
                  <c:v>874.94677406198548</c:v>
                </c:pt>
                <c:pt idx="203">
                  <c:v>889.28528057435142</c:v>
                </c:pt>
                <c:pt idx="204">
                  <c:v>903.36244111234146</c:v>
                </c:pt>
                <c:pt idx="205">
                  <c:v>917.18431336203446</c:v>
                </c:pt>
                <c:pt idx="206">
                  <c:v>930.75669601764514</c:v>
                </c:pt>
                <c:pt idx="207">
                  <c:v>944.08514311313081</c:v>
                </c:pt>
                <c:pt idx="208">
                  <c:v>957.17497736148778</c:v>
                </c:pt>
                <c:pt idx="209">
                  <c:v>970.03130258331862</c:v>
                </c:pt>
                <c:pt idx="210">
                  <c:v>982.65901529849975</c:v>
                </c:pt>
                <c:pt idx="211">
                  <c:v>995.06281554786165</c:v>
                </c:pt>
                <c:pt idx="212">
                  <c:v>1007.2472170056067</c:v>
                </c:pt>
                <c:pt idx="213">
                  <c:v>1019.2165564376544</c:v>
                </c:pt>
                <c:pt idx="214">
                  <c:v>1030.9750025561332</c:v>
                </c:pt>
                <c:pt idx="215">
                  <c:v>1042.5265643157777</c:v>
                </c:pt>
                <c:pt idx="216">
                  <c:v>1053.8750986939813</c:v>
                </c:pt>
                <c:pt idx="217">
                  <c:v>1065.0243179926308</c:v>
                </c:pt>
                <c:pt idx="218">
                  <c:v>1075.9777966966003</c:v>
                </c:pt>
                <c:pt idx="219">
                  <c:v>1086.7389779208268</c:v>
                </c:pt>
                <c:pt idx="220">
                  <c:v>1097.3111794752342</c:v>
                </c:pt>
                <c:pt idx="221">
                  <c:v>1107.6975995743564</c:v>
                </c:pt>
                <c:pt idx="222">
                  <c:v>1117.9013222163239</c:v>
                </c:pt>
                <c:pt idx="223">
                  <c:v>1127.9253222538971</c:v>
                </c:pt>
                <c:pt idx="224">
                  <c:v>1137.7724701784193</c:v>
                </c:pt>
                <c:pt idx="225">
                  <c:v>1147.4455366359275</c:v>
                </c:pt>
                <c:pt idx="226">
                  <c:v>1156.9471966931587</c:v>
                </c:pt>
                <c:pt idx="227">
                  <c:v>1166.2800338698287</c:v>
                </c:pt>
                <c:pt idx="228">
                  <c:v>1175.4465439523137</c:v>
                </c:pt>
                <c:pt idx="229">
                  <c:v>1184.4491386027316</c:v>
                </c:pt>
                <c:pt idx="230">
                  <c:v>1193.2901487763725</c:v>
                </c:pt>
                <c:pt idx="231">
                  <c:v>1201.9718279594815</c:v>
                </c:pt>
                <c:pt idx="232">
                  <c:v>1210.4963552385216</c:v>
                </c:pt>
                <c:pt idx="233">
                  <c:v>1218.8658382112392</c:v>
                </c:pt>
                <c:pt idx="234">
                  <c:v>1227.0823157491263</c:v>
                </c:pt>
                <c:pt idx="235">
                  <c:v>1235.1477606201915</c:v>
                </c:pt>
                <c:pt idx="236">
                  <c:v>1243.0640819803316</c:v>
                </c:pt>
                <c:pt idx="237">
                  <c:v>1250.8331277410227</c:v>
                </c:pt>
                <c:pt idx="238">
                  <c:v>1258.4566868205245</c:v>
                </c:pt>
                <c:pt idx="239">
                  <c:v>1265.9364912852984</c:v>
                </c:pt>
                <c:pt idx="240">
                  <c:v>1273.2742183878981</c:v>
                </c:pt>
                <c:pt idx="241">
                  <c:v>1280.4714925071723</c:v>
                </c:pt>
                <c:pt idx="242">
                  <c:v>1287.5298869962357</c:v>
                </c:pt>
                <c:pt idx="243">
                  <c:v>1294.4509259433123</c:v>
                </c:pt>
                <c:pt idx="244">
                  <c:v>1301.2360858502236</c:v>
                </c:pt>
                <c:pt idx="245">
                  <c:v>1307.886797232994</c:v>
                </c:pt>
                <c:pt idx="246">
                  <c:v>1314.4044461487588</c:v>
                </c:pt>
                <c:pt idx="247">
                  <c:v>1320.7903756529063</c:v>
                </c:pt>
                <c:pt idx="248">
                  <c:v>1327.0458871901365</c:v>
                </c:pt>
                <c:pt idx="249">
                  <c:v>1333.172241922897</c:v>
                </c:pt>
                <c:pt idx="250">
                  <c:v>1339.1706620004506</c:v>
                </c:pt>
                <c:pt idx="251">
                  <c:v>1345.04233177163</c:v>
                </c:pt>
                <c:pt idx="252">
                  <c:v>1350.7883989441607</c:v>
                </c:pt>
                <c:pt idx="253">
                  <c:v>1356.4099756932626</c:v>
                </c:pt>
                <c:pt idx="254">
                  <c:v>1361.9081397220871</c:v>
                </c:pt>
                <c:pt idx="255">
                  <c:v>1367.2839352764031</c:v>
                </c:pt>
                <c:pt idx="256">
                  <c:v>1372.5383741158123</c:v>
                </c:pt>
                <c:pt idx="257">
                  <c:v>1377.6724364436477</c:v>
                </c:pt>
                <c:pt idx="258">
                  <c:v>1382.6870717975996</c:v>
                </c:pt>
                <c:pt idx="259">
                  <c:v>1387.5831999030042</c:v>
                </c:pt>
                <c:pt idx="260">
                  <c:v>1392.3617114906324</c:v>
                </c:pt>
                <c:pt idx="261">
                  <c:v>1397.0234690807297</c:v>
                </c:pt>
                <c:pt idx="262">
                  <c:v>1401.5693077349738</c:v>
                </c:pt>
                <c:pt idx="263">
                  <c:v>1406.0000357779422</c:v>
                </c:pt>
                <c:pt idx="264">
                  <c:v>1410.3164354896151</c:v>
                </c:pt>
                <c:pt idx="265">
                  <c:v>1414.5192637703781</c:v>
                </c:pt>
                <c:pt idx="266">
                  <c:v>1418.6092527799356</c:v>
                </c:pt>
                <c:pt idx="267">
                  <c:v>1422.5871105514993</c:v>
                </c:pt>
                <c:pt idx="268">
                  <c:v>1426.4535215825749</c:v>
                </c:pt>
                <c:pt idx="269">
                  <c:v>1430.2091474036406</c:v>
                </c:pt>
                <c:pt idx="270">
                  <c:v>1433.8546271259822</c:v>
                </c:pt>
                <c:pt idx="271">
                  <c:v>1437.3905779699351</c:v>
                </c:pt>
                <c:pt idx="272">
                  <c:v>1440.8175957747701</c:v>
                </c:pt>
                <c:pt idx="273">
                  <c:v>1444.1362554914645</c:v>
                </c:pt>
                <c:pt idx="274">
                  <c:v>1447.3471116596004</c:v>
                </c:pt>
                <c:pt idx="275">
                  <c:v>1450.4506988696583</c:v>
                </c:pt>
                <c:pt idx="276">
                  <c:v>1453.4475322119943</c:v>
                </c:pt>
                <c:pt idx="277">
                  <c:v>1456.3381077138356</c:v>
                </c:pt>
                <c:pt idx="278">
                  <c:v>1459.1229027656755</c:v>
                </c:pt>
                <c:pt idx="279">
                  <c:v>1461.8023765385194</c:v>
                </c:pt>
                <c:pt idx="280">
                  <c:v>1464.3769703935079</c:v>
                </c:pt>
                <c:pt idx="281">
                  <c:v>1466.8471082855417</c:v>
                </c:pt>
                <c:pt idx="282">
                  <c:v>1469.2131971626427</c:v>
                </c:pt>
                <c:pt idx="283">
                  <c:v>1471.4756273629116</c:v>
                </c:pt>
                <c:pt idx="284">
                  <c:v>1473.6347730110911</c:v>
                </c:pt>
                <c:pt idx="285">
                  <c:v>1475.690992416899</c:v>
                </c:pt>
                <c:pt idx="286">
                  <c:v>1477.6446284774804</c:v>
                </c:pt>
                <c:pt idx="287">
                  <c:v>1479.4960090865077</c:v>
                </c:pt>
                <c:pt idx="288">
                  <c:v>1481.2454475526677</c:v>
                </c:pt>
                <c:pt idx="289">
                  <c:v>1482.8932430304676</c:v>
                </c:pt>
                <c:pt idx="290">
                  <c:v>1484.4396809664947</c:v>
                </c:pt>
                <c:pt idx="291">
                  <c:v>1485.8850335644427</c:v>
                </c:pt>
                <c:pt idx="292">
                  <c:v>1487.2295602723659</c:v>
                </c:pt>
                <c:pt idx="293">
                  <c:v>1488.4735082957209</c:v>
                </c:pt>
                <c:pt idx="294">
                  <c:v>1489.6171131397746</c:v>
                </c:pt>
                <c:pt idx="295">
                  <c:v>1490.660599184883</c:v>
                </c:pt>
                <c:pt idx="296">
                  <c:v>1491.6041802979344</c:v>
                </c:pt>
                <c:pt idx="297">
                  <c:v>1492.4480604828766</c:v>
                </c:pt>
                <c:pt idx="298">
                  <c:v>1493.1924345726979</c:v>
                </c:pt>
                <c:pt idx="299">
                  <c:v>1493.8374889644558</c:v>
                </c:pt>
                <c:pt idx="300">
                  <c:v>1494.3834023979637</c:v>
                </c:pt>
                <c:pt idx="301">
                  <c:v>1494.8303467775438</c:v>
                </c:pt>
                <c:pt idx="302">
                  <c:v>1495.1784880348675</c:v>
                </c:pt>
                <c:pt idx="303">
                  <c:v>1495.4279870293822</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111.36012897252361</c:v>
                </c:pt>
              </c:numCache>
            </c:numRef>
          </c:xVal>
          <c:yVal>
            <c:numRef>
              <c:f>Trajecto!$C$158</c:f>
              <c:numCache>
                <c:formatCode>0</c:formatCode>
                <c:ptCount val="1"/>
                <c:pt idx="0">
                  <c:v>747.71399351469108</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647.1342285197602</c:v>
                </c:pt>
              </c:numCache>
            </c:numRef>
          </c:xVal>
          <c:yVal>
            <c:numRef>
              <c:f>Trajecto!$C$159</c:f>
              <c:numCache>
                <c:formatCode>0</c:formatCode>
                <c:ptCount val="1"/>
                <c:pt idx="0">
                  <c:v>747.81584096508061</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{A4EA220E-166C-4069-B4F4-E4C9A7F3BA48}</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449.66119991931424</c:v>
                </c:pt>
                <c:pt idx="1">
                  <c:v>472.66119991931424</c:v>
                </c:pt>
                <c:pt idx="2">
                  <c:v>472.66119991931424</c:v>
                </c:pt>
                <c:pt idx="3">
                  <c:v>449.66119991931424</c:v>
                </c:pt>
                <c:pt idx="4">
                  <c:v>472.66119991931424</c:v>
                </c:pt>
                <c:pt idx="5">
                  <c:v>472.66119991931424</c:v>
                </c:pt>
                <c:pt idx="6">
                  <c:v>457.66119991931424</c:v>
                </c:pt>
                <c:pt idx="7">
                  <c:v>457.66119991931424</c:v>
                </c:pt>
                <c:pt idx="8">
                  <c:v>472.66119991931424</c:v>
                </c:pt>
                <c:pt idx="9">
                  <c:v>457.66119991931424</c:v>
                </c:pt>
                <c:pt idx="10">
                  <c:v>457.26119991931427</c:v>
                </c:pt>
                <c:pt idx="11">
                  <c:v>456.46119991931425</c:v>
                </c:pt>
                <c:pt idx="12">
                  <c:v>455.66119991931424</c:v>
                </c:pt>
                <c:pt idx="13">
                  <c:v>454.66119991931424</c:v>
                </c:pt>
                <c:pt idx="14">
                  <c:v>453.46119991931425</c:v>
                </c:pt>
                <c:pt idx="15">
                  <c:v>449.66119991931424</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449.66119991931424</c:v>
                </c:pt>
                <c:pt idx="1">
                  <c:v>426.66119991931424</c:v>
                </c:pt>
                <c:pt idx="2">
                  <c:v>426.66119991931424</c:v>
                </c:pt>
                <c:pt idx="3">
                  <c:v>449.66119991931424</c:v>
                </c:pt>
                <c:pt idx="4">
                  <c:v>426.66119991931424</c:v>
                </c:pt>
                <c:pt idx="5">
                  <c:v>426.66119991931424</c:v>
                </c:pt>
                <c:pt idx="6">
                  <c:v>441.66119991931424</c:v>
                </c:pt>
                <c:pt idx="7">
                  <c:v>441.66119991931424</c:v>
                </c:pt>
                <c:pt idx="8">
                  <c:v>426.66119991931424</c:v>
                </c:pt>
                <c:pt idx="9">
                  <c:v>441.66119991931424</c:v>
                </c:pt>
                <c:pt idx="10">
                  <c:v>442.06119991931422</c:v>
                </c:pt>
                <c:pt idx="11">
                  <c:v>442.86119991931423</c:v>
                </c:pt>
                <c:pt idx="12">
                  <c:v>443.66119991931424</c:v>
                </c:pt>
                <c:pt idx="13">
                  <c:v>444.66119991931424</c:v>
                </c:pt>
                <c:pt idx="14">
                  <c:v>445.86119991931423</c:v>
                </c:pt>
                <c:pt idx="15">
                  <c:v>449.66119991931424</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{F8124283-7F14-4E99-A480-5C4D8F6289D6}</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449.66119991931424</c:v>
                </c:pt>
                <c:pt idx="1">
                  <c:v>449.66119991931424</c:v>
                </c:pt>
                <c:pt idx="2">
                  <c:v>459.66119991931424</c:v>
                </c:pt>
                <c:pt idx="3">
                  <c:v>449.66119991931424</c:v>
                </c:pt>
                <c:pt idx="4">
                  <c:v>459.66119991931424</c:v>
                </c:pt>
                <c:pt idx="5">
                  <c:v>462.66119991931424</c:v>
                </c:pt>
                <c:pt idx="6">
                  <c:v>466.66119991931424</c:v>
                </c:pt>
                <c:pt idx="7">
                  <c:v>469.66119991931424</c:v>
                </c:pt>
                <c:pt idx="8">
                  <c:v>474.66119991931424</c:v>
                </c:pt>
                <c:pt idx="9">
                  <c:v>479.66119991931424</c:v>
                </c:pt>
                <c:pt idx="10">
                  <c:v>485.66119991931424</c:v>
                </c:pt>
                <c:pt idx="11">
                  <c:v>497.66119991931424</c:v>
                </c:pt>
                <c:pt idx="12">
                  <c:v>511.66119991931424</c:v>
                </c:pt>
                <c:pt idx="13">
                  <c:v>486.66119991931424</c:v>
                </c:pt>
                <c:pt idx="14">
                  <c:v>479.66119991931424</c:v>
                </c:pt>
                <c:pt idx="15">
                  <c:v>464.66119991931424</c:v>
                </c:pt>
                <c:pt idx="16">
                  <c:v>449.66119991931424</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449.66119991931424</c:v>
                </c:pt>
                <c:pt idx="1">
                  <c:v>449.66119991931424</c:v>
                </c:pt>
                <c:pt idx="2">
                  <c:v>439.66119991931424</c:v>
                </c:pt>
                <c:pt idx="3">
                  <c:v>449.66119991931424</c:v>
                </c:pt>
                <c:pt idx="4">
                  <c:v>439.66119991931424</c:v>
                </c:pt>
                <c:pt idx="5">
                  <c:v>436.66119991931424</c:v>
                </c:pt>
                <c:pt idx="6">
                  <c:v>432.66119991931424</c:v>
                </c:pt>
                <c:pt idx="7">
                  <c:v>429.66119991931424</c:v>
                </c:pt>
                <c:pt idx="8">
                  <c:v>424.66119991931424</c:v>
                </c:pt>
                <c:pt idx="9">
                  <c:v>419.66119991931424</c:v>
                </c:pt>
                <c:pt idx="10">
                  <c:v>413.66119991931424</c:v>
                </c:pt>
                <c:pt idx="11">
                  <c:v>401.66119991931424</c:v>
                </c:pt>
                <c:pt idx="12">
                  <c:v>387.66119991931424</c:v>
                </c:pt>
                <c:pt idx="13">
                  <c:v>412.66119991931424</c:v>
                </c:pt>
                <c:pt idx="14">
                  <c:v>419.66119991931424</c:v>
                </c:pt>
                <c:pt idx="15">
                  <c:v>434.66119991931424</c:v>
                </c:pt>
                <c:pt idx="16">
                  <c:v>449.66119991931424</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449.66119991931424</c:v>
                </c:pt>
                <c:pt idx="1">
                  <c:v>466.66119991931424</c:v>
                </c:pt>
                <c:pt idx="2">
                  <c:v>460.66119991931424</c:v>
                </c:pt>
                <c:pt idx="3">
                  <c:v>449.66119991931424</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449.66119991931424</c:v>
                </c:pt>
                <c:pt idx="1">
                  <c:v>432.66119991931424</c:v>
                </c:pt>
                <c:pt idx="2">
                  <c:v>438.66119991931424</c:v>
                </c:pt>
                <c:pt idx="3">
                  <c:v>449.66119991931424</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{57B145E2-480D-4D64-BD13-AD51FC13D3F0}</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445.44051589009445</c:v>
                </c:pt>
                <c:pt idx="1">
                  <c:v>445.44051589009445</c:v>
                </c:pt>
                <c:pt idx="2">
                  <c:v>445.44051589009445</c:v>
                </c:pt>
                <c:pt idx="3">
                  <c:v>482.82621556582899</c:v>
                </c:pt>
                <c:pt idx="4">
                  <c:v>445.44051589009445</c:v>
                </c:pt>
                <c:pt idx="5">
                  <c:v>408.0548162143599</c:v>
                </c:pt>
                <c:pt idx="6">
                  <c:v>445.44051589009445</c:v>
                </c:pt>
              </c:numCache>
            </c:numRef>
          </c:xVal>
          <c:yVal>
            <c:numRef>
              <c:f>Trajecto!$C$124:$C$130</c:f>
              <c:numCache>
                <c:formatCode>0</c:formatCode>
                <c:ptCount val="7"/>
                <c:pt idx="0">
                  <c:v>1495.4279870293822</c:v>
                </c:pt>
                <c:pt idx="1">
                  <c:v>747.71399351469108</c:v>
                </c:pt>
                <c:pt idx="2">
                  <c:v>0</c:v>
                </c:pt>
                <c:pt idx="3">
                  <c:v>74.771399351469114</c:v>
                </c:pt>
                <c:pt idx="4">
                  <c:v>0</c:v>
                </c:pt>
                <c:pt idx="5">
                  <c:v>74.771399351469114</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1495.6316819301612</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-1</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3.9999999999999831</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4.9999999999999618</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5.9999999999999547</c:v>
                </c:pt>
                <c:pt idx="209">
                  <c:v>#N/A</c:v>
                </c:pt>
                <c:pt idx="210">
                  <c:v>#N/A</c:v>
                </c:pt>
                <c:pt idx="211">
                  <c:v>#N/A</c:v>
                </c:pt>
                <c:pt idx="212">
                  <c:v>#N/A</c:v>
                </c:pt>
                <c:pt idx="213">
                  <c:v>#N/A</c:v>
                </c:pt>
                <c:pt idx="214">
                  <c:v>#N/A</c:v>
                </c:pt>
                <c:pt idx="215">
                  <c:v>#N/A</c:v>
                </c:pt>
                <c:pt idx="216">
                  <c:v>#N/A</c:v>
                </c:pt>
                <c:pt idx="217">
                  <c:v>#N/A</c:v>
                </c:pt>
                <c:pt idx="218">
                  <c:v>6.9999999999999512</c:v>
                </c:pt>
                <c:pt idx="219">
                  <c:v>#N/A</c:v>
                </c:pt>
                <c:pt idx="220">
                  <c:v>#N/A</c:v>
                </c:pt>
                <c:pt idx="221">
                  <c:v>#N/A</c:v>
                </c:pt>
                <c:pt idx="222">
                  <c:v>#N/A</c:v>
                </c:pt>
                <c:pt idx="223">
                  <c:v>#N/A</c:v>
                </c:pt>
                <c:pt idx="224">
                  <c:v>#N/A</c:v>
                </c:pt>
                <c:pt idx="225">
                  <c:v>#N/A</c:v>
                </c:pt>
                <c:pt idx="226">
                  <c:v>#N/A</c:v>
                </c:pt>
                <c:pt idx="227">
                  <c:v>#N/A</c:v>
                </c:pt>
                <c:pt idx="228">
                  <c:v>7.9999999999999476</c:v>
                </c:pt>
                <c:pt idx="229">
                  <c:v>#N/A</c:v>
                </c:pt>
                <c:pt idx="230">
                  <c:v>#N/A</c:v>
                </c:pt>
                <c:pt idx="231">
                  <c:v>#N/A</c:v>
                </c:pt>
                <c:pt idx="232">
                  <c:v>#N/A</c:v>
                </c:pt>
                <c:pt idx="233">
                  <c:v>#N/A</c:v>
                </c:pt>
                <c:pt idx="234">
                  <c:v>#N/A</c:v>
                </c:pt>
                <c:pt idx="235">
                  <c:v>#N/A</c:v>
                </c:pt>
                <c:pt idx="236">
                  <c:v>#N/A</c:v>
                </c:pt>
                <c:pt idx="237">
                  <c:v>#N/A</c:v>
                </c:pt>
                <c:pt idx="238">
                  <c:v>8.9999999999999449</c:v>
                </c:pt>
                <c:pt idx="239">
                  <c:v>#N/A</c:v>
                </c:pt>
                <c:pt idx="240">
                  <c:v>#N/A</c:v>
                </c:pt>
                <c:pt idx="241">
                  <c:v>#N/A</c:v>
                </c:pt>
                <c:pt idx="242">
                  <c:v>#N/A</c:v>
                </c:pt>
                <c:pt idx="243">
                  <c:v>#N/A</c:v>
                </c:pt>
                <c:pt idx="244">
                  <c:v>#N/A</c:v>
                </c:pt>
                <c:pt idx="245">
                  <c:v>#N/A</c:v>
                </c:pt>
                <c:pt idx="246">
                  <c:v>#N/A</c:v>
                </c:pt>
                <c:pt idx="247">
                  <c:v>#N/A</c:v>
                </c:pt>
                <c:pt idx="248">
                  <c:v>9.9999999999999414</c:v>
                </c:pt>
                <c:pt idx="249">
                  <c:v>#N/A</c:v>
                </c:pt>
                <c:pt idx="250">
                  <c:v>#N/A</c:v>
                </c:pt>
                <c:pt idx="251">
                  <c:v>#N/A</c:v>
                </c:pt>
                <c:pt idx="252">
                  <c:v>#N/A</c:v>
                </c:pt>
                <c:pt idx="253">
                  <c:v>#N/A</c:v>
                </c:pt>
                <c:pt idx="254">
                  <c:v>#N/A</c:v>
                </c:pt>
                <c:pt idx="255">
                  <c:v>#N/A</c:v>
                </c:pt>
                <c:pt idx="256">
                  <c:v>#N/A</c:v>
                </c:pt>
                <c:pt idx="257">
                  <c:v>#N/A</c:v>
                </c:pt>
                <c:pt idx="258">
                  <c:v>10.999999999999938</c:v>
                </c:pt>
                <c:pt idx="259">
                  <c:v>#N/A</c:v>
                </c:pt>
                <c:pt idx="260">
                  <c:v>#N/A</c:v>
                </c:pt>
                <c:pt idx="261">
                  <c:v>#N/A</c:v>
                </c:pt>
                <c:pt idx="262">
                  <c:v>#N/A</c:v>
                </c:pt>
                <c:pt idx="263">
                  <c:v>#N/A</c:v>
                </c:pt>
                <c:pt idx="264">
                  <c:v>#N/A</c:v>
                </c:pt>
                <c:pt idx="265">
                  <c:v>#N/A</c:v>
                </c:pt>
                <c:pt idx="266">
                  <c:v>#N/A</c:v>
                </c:pt>
                <c:pt idx="267">
                  <c:v>#N/A</c:v>
                </c:pt>
                <c:pt idx="268">
                  <c:v>11.999999999999934</c:v>
                </c:pt>
                <c:pt idx="269">
                  <c:v>#N/A</c:v>
                </c:pt>
                <c:pt idx="270">
                  <c:v>#N/A</c:v>
                </c:pt>
                <c:pt idx="271">
                  <c:v>#N/A</c:v>
                </c:pt>
                <c:pt idx="272">
                  <c:v>#N/A</c:v>
                </c:pt>
                <c:pt idx="273">
                  <c:v>#N/A</c:v>
                </c:pt>
                <c:pt idx="274">
                  <c:v>#N/A</c:v>
                </c:pt>
                <c:pt idx="275">
                  <c:v>#N/A</c:v>
                </c:pt>
                <c:pt idx="276">
                  <c:v>#N/A</c:v>
                </c:pt>
                <c:pt idx="277">
                  <c:v>#N/A</c:v>
                </c:pt>
                <c:pt idx="278">
                  <c:v>12.999999999999931</c:v>
                </c:pt>
                <c:pt idx="279">
                  <c:v>#N/A</c:v>
                </c:pt>
                <c:pt idx="280">
                  <c:v>#N/A</c:v>
                </c:pt>
                <c:pt idx="281">
                  <c:v>#N/A</c:v>
                </c:pt>
                <c:pt idx="282">
                  <c:v>#N/A</c:v>
                </c:pt>
                <c:pt idx="283">
                  <c:v>#N/A</c:v>
                </c:pt>
                <c:pt idx="284">
                  <c:v>#N/A</c:v>
                </c:pt>
                <c:pt idx="285">
                  <c:v>#N/A</c:v>
                </c:pt>
                <c:pt idx="286">
                  <c:v>#N/A</c:v>
                </c:pt>
                <c:pt idx="287">
                  <c:v>#N/A</c:v>
                </c:pt>
                <c:pt idx="288">
                  <c:v>13.999999999999927</c:v>
                </c:pt>
                <c:pt idx="289">
                  <c:v>#N/A</c:v>
                </c:pt>
                <c:pt idx="290">
                  <c:v>#N/A</c:v>
                </c:pt>
                <c:pt idx="291">
                  <c:v>#N/A</c:v>
                </c:pt>
                <c:pt idx="292">
                  <c:v>#N/A</c:v>
                </c:pt>
                <c:pt idx="293">
                  <c:v>#N/A</c:v>
                </c:pt>
                <c:pt idx="294">
                  <c:v>#N/A</c:v>
                </c:pt>
                <c:pt idx="295">
                  <c:v>#N/A</c:v>
                </c:pt>
                <c:pt idx="296">
                  <c:v>#N/A</c:v>
                </c:pt>
                <c:pt idx="297">
                  <c:v>#N/A</c:v>
                </c:pt>
                <c:pt idx="298">
                  <c:v>14.999999999999924</c:v>
                </c:pt>
                <c:pt idx="299">
                  <c:v>#N/A</c:v>
                </c:pt>
                <c:pt idx="300">
                  <c:v>#N/A</c:v>
                </c:pt>
                <c:pt idx="301">
                  <c:v>#N/A</c:v>
                </c:pt>
                <c:pt idx="302">
                  <c:v>#N/A</c:v>
                </c:pt>
                <c:pt idx="303">
                  <c:v>#N/A</c:v>
                </c:pt>
                <c:pt idx="304">
                  <c:v>#N/A</c:v>
                </c:pt>
                <c:pt idx="305">
                  <c:v>#N/A</c:v>
                </c:pt>
                <c:pt idx="306">
                  <c:v>#N/A</c:v>
                </c:pt>
                <c:pt idx="307">
                  <c:v>#N/A</c:v>
                </c:pt>
                <c:pt idx="308">
                  <c:v>15.99999999999992</c:v>
                </c:pt>
                <c:pt idx="309">
                  <c:v>#N/A</c:v>
                </c:pt>
                <c:pt idx="310">
                  <c:v>#N/A</c:v>
                </c:pt>
                <c:pt idx="311">
                  <c:v>#N/A</c:v>
                </c:pt>
                <c:pt idx="312">
                  <c:v>#N/A</c:v>
                </c:pt>
                <c:pt idx="313">
                  <c:v>#N/A</c:v>
                </c:pt>
                <c:pt idx="314">
                  <c:v>#N/A</c:v>
                </c:pt>
                <c:pt idx="315">
                  <c:v>#N/A</c:v>
                </c:pt>
                <c:pt idx="316">
                  <c:v>#N/A</c:v>
                </c:pt>
                <c:pt idx="317">
                  <c:v>#N/A</c:v>
                </c:pt>
                <c:pt idx="318">
                  <c:v>16.999999999999932</c:v>
                </c:pt>
                <c:pt idx="319">
                  <c:v>#N/A</c:v>
                </c:pt>
                <c:pt idx="320">
                  <c:v>#N/A</c:v>
                </c:pt>
                <c:pt idx="321">
                  <c:v>#N/A</c:v>
                </c:pt>
                <c:pt idx="322">
                  <c:v>#N/A</c:v>
                </c:pt>
                <c:pt idx="323">
                  <c:v>#N/A</c:v>
                </c:pt>
                <c:pt idx="324">
                  <c:v>#N/A</c:v>
                </c:pt>
                <c:pt idx="325">
                  <c:v>#N/A</c:v>
                </c:pt>
                <c:pt idx="326">
                  <c:v>#N/A</c:v>
                </c:pt>
                <c:pt idx="327">
                  <c:v>#N/A</c:v>
                </c:pt>
                <c:pt idx="328">
                  <c:v>17.999999999999947</c:v>
                </c:pt>
                <c:pt idx="329">
                  <c:v>#N/A</c:v>
                </c:pt>
                <c:pt idx="330">
                  <c:v>#N/A</c:v>
                </c:pt>
                <c:pt idx="331">
                  <c:v>#N/A</c:v>
                </c:pt>
                <c:pt idx="332">
                  <c:v>#N/A</c:v>
                </c:pt>
                <c:pt idx="333">
                  <c:v>#N/A</c:v>
                </c:pt>
                <c:pt idx="334">
                  <c:v>#N/A</c:v>
                </c:pt>
                <c:pt idx="335">
                  <c:v>#N/A</c:v>
                </c:pt>
                <c:pt idx="336">
                  <c:v>#N/A</c:v>
                </c:pt>
                <c:pt idx="337">
                  <c:v>#N/A</c:v>
                </c:pt>
                <c:pt idx="338">
                  <c:v>18.999999999999961</c:v>
                </c:pt>
                <c:pt idx="339">
                  <c:v>#N/A</c:v>
                </c:pt>
                <c:pt idx="340">
                  <c:v>#N/A</c:v>
                </c:pt>
                <c:pt idx="341">
                  <c:v>#N/A</c:v>
                </c:pt>
                <c:pt idx="342">
                  <c:v>#N/A</c:v>
                </c:pt>
                <c:pt idx="343">
                  <c:v>#N/A</c:v>
                </c:pt>
                <c:pt idx="344">
                  <c:v>#N/A</c:v>
                </c:pt>
                <c:pt idx="345">
                  <c:v>#N/A</c:v>
                </c:pt>
                <c:pt idx="346">
                  <c:v>#N/A</c:v>
                </c:pt>
                <c:pt idx="347">
                  <c:v>#N/A</c:v>
                </c:pt>
                <c:pt idx="348">
                  <c:v>19.999999999999975</c:v>
                </c:pt>
                <c:pt idx="349">
                  <c:v>#N/A</c:v>
                </c:pt>
                <c:pt idx="350">
                  <c:v>#N/A</c:v>
                </c:pt>
                <c:pt idx="351">
                  <c:v>#N/A</c:v>
                </c:pt>
                <c:pt idx="352">
                  <c:v>#N/A</c:v>
                </c:pt>
                <c:pt idx="353">
                  <c:v>#N/A</c:v>
                </c:pt>
                <c:pt idx="354">
                  <c:v>#N/A</c:v>
                </c:pt>
                <c:pt idx="355">
                  <c:v>#N/A</c:v>
                </c:pt>
                <c:pt idx="356">
                  <c:v>#N/A</c:v>
                </c:pt>
                <c:pt idx="357">
                  <c:v>#N/A</c:v>
                </c:pt>
                <c:pt idx="358">
                  <c:v>20.999999999999989</c:v>
                </c:pt>
                <c:pt idx="359">
                  <c:v>#N/A</c:v>
                </c:pt>
                <c:pt idx="360">
                  <c:v>#N/A</c:v>
                </c:pt>
                <c:pt idx="361">
                  <c:v>#N/A</c:v>
                </c:pt>
                <c:pt idx="362">
                  <c:v>#N/A</c:v>
                </c:pt>
                <c:pt idx="363">
                  <c:v>#N/A</c:v>
                </c:pt>
                <c:pt idx="364">
                  <c:v>#N/A</c:v>
                </c:pt>
                <c:pt idx="365">
                  <c:v>#N/A</c:v>
                </c:pt>
                <c:pt idx="366">
                  <c:v>#N/A</c:v>
                </c:pt>
                <c:pt idx="367">
                  <c:v>#N/A</c:v>
                </c:pt>
                <c:pt idx="368">
                  <c:v>22.000000000000004</c:v>
                </c:pt>
                <c:pt idx="369">
                  <c:v>#N/A</c:v>
                </c:pt>
                <c:pt idx="370">
                  <c:v>#N/A</c:v>
                </c:pt>
                <c:pt idx="371">
                  <c:v>#N/A</c:v>
                </c:pt>
                <c:pt idx="372">
                  <c:v>#N/A</c:v>
                </c:pt>
                <c:pt idx="373">
                  <c:v>#N/A</c:v>
                </c:pt>
                <c:pt idx="374">
                  <c:v>#N/A</c:v>
                </c:pt>
                <c:pt idx="375">
                  <c:v>#N/A</c:v>
                </c:pt>
                <c:pt idx="376">
                  <c:v>#N/A</c:v>
                </c:pt>
                <c:pt idx="377">
                  <c:v>#N/A</c:v>
                </c:pt>
                <c:pt idx="378">
                  <c:v>23.000000000000018</c:v>
                </c:pt>
                <c:pt idx="379">
                  <c:v>#N/A</c:v>
                </c:pt>
                <c:pt idx="380">
                  <c:v>#N/A</c:v>
                </c:pt>
                <c:pt idx="381">
                  <c:v>#N/A</c:v>
                </c:pt>
                <c:pt idx="382">
                  <c:v>#N/A</c:v>
                </c:pt>
                <c:pt idx="383">
                  <c:v>#N/A</c:v>
                </c:pt>
                <c:pt idx="384">
                  <c:v>#N/A</c:v>
                </c:pt>
                <c:pt idx="385">
                  <c:v>#N/A</c:v>
                </c:pt>
                <c:pt idx="386">
                  <c:v>#N/A</c:v>
                </c:pt>
                <c:pt idx="387">
                  <c:v>#N/A</c:v>
                </c:pt>
                <c:pt idx="388">
                  <c:v>24.000000000000032</c:v>
                </c:pt>
                <c:pt idx="389">
                  <c:v>#N/A</c:v>
                </c:pt>
                <c:pt idx="390">
                  <c:v>#N/A</c:v>
                </c:pt>
                <c:pt idx="391">
                  <c:v>#N/A</c:v>
                </c:pt>
                <c:pt idx="392">
                  <c:v>#N/A</c:v>
                </c:pt>
                <c:pt idx="393">
                  <c:v>#N/A</c:v>
                </c:pt>
                <c:pt idx="394">
                  <c:v>#N/A</c:v>
                </c:pt>
                <c:pt idx="395">
                  <c:v>#N/A</c:v>
                </c:pt>
                <c:pt idx="396">
                  <c:v>#N/A</c:v>
                </c:pt>
                <c:pt idx="397">
                  <c:v>#N/A</c:v>
                </c:pt>
                <c:pt idx="398">
                  <c:v>25.000000000000046</c:v>
                </c:pt>
                <c:pt idx="399">
                  <c:v>#N/A</c:v>
                </c:pt>
                <c:pt idx="400">
                  <c:v>#N/A</c:v>
                </c:pt>
                <c:pt idx="401">
                  <c:v>#N/A</c:v>
                </c:pt>
                <c:pt idx="402">
                  <c:v>#N/A</c:v>
                </c:pt>
                <c:pt idx="403">
                  <c:v>#N/A</c:v>
                </c:pt>
                <c:pt idx="404">
                  <c:v>#N/A</c:v>
                </c:pt>
                <c:pt idx="405">
                  <c:v>#N/A</c:v>
                </c:pt>
                <c:pt idx="406">
                  <c:v>#N/A</c:v>
                </c:pt>
                <c:pt idx="407">
                  <c:v>#N/A</c:v>
                </c:pt>
                <c:pt idx="408">
                  <c:v>26.00000000000006</c:v>
                </c:pt>
                <c:pt idx="409">
                  <c:v>#N/A</c:v>
                </c:pt>
                <c:pt idx="410">
                  <c:v>#N/A</c:v>
                </c:pt>
                <c:pt idx="411">
                  <c:v>#N/A</c:v>
                </c:pt>
                <c:pt idx="412">
                  <c:v>#N/A</c:v>
                </c:pt>
                <c:pt idx="413">
                  <c:v>#N/A</c:v>
                </c:pt>
                <c:pt idx="414">
                  <c:v>#N/A</c:v>
                </c:pt>
                <c:pt idx="415">
                  <c:v>#N/A</c:v>
                </c:pt>
                <c:pt idx="416">
                  <c:v>#N/A</c:v>
                </c:pt>
                <c:pt idx="417">
                  <c:v>#N/A</c:v>
                </c:pt>
                <c:pt idx="418">
                  <c:v>27.000000000000075</c:v>
                </c:pt>
                <c:pt idx="419">
                  <c:v>#N/A</c:v>
                </c:pt>
                <c:pt idx="420">
                  <c:v>#N/A</c:v>
                </c:pt>
                <c:pt idx="421">
                  <c:v>#N/A</c:v>
                </c:pt>
                <c:pt idx="422">
                  <c:v>#N/A</c:v>
                </c:pt>
                <c:pt idx="423">
                  <c:v>#N/A</c:v>
                </c:pt>
                <c:pt idx="424">
                  <c:v>#N/A</c:v>
                </c:pt>
                <c:pt idx="425">
                  <c:v>#N/A</c:v>
                </c:pt>
                <c:pt idx="426">
                  <c:v>#N/A</c:v>
                </c:pt>
                <c:pt idx="427">
                  <c:v>#N/A</c:v>
                </c:pt>
                <c:pt idx="428">
                  <c:v>28.000000000000089</c:v>
                </c:pt>
                <c:pt idx="429">
                  <c:v>#N/A</c:v>
                </c:pt>
                <c:pt idx="430">
                  <c:v>#N/A</c:v>
                </c:pt>
                <c:pt idx="431">
                  <c:v>#N/A</c:v>
                </c:pt>
                <c:pt idx="432">
                  <c:v>#N/A</c:v>
                </c:pt>
                <c:pt idx="433">
                  <c:v>#N/A</c:v>
                </c:pt>
                <c:pt idx="434">
                  <c:v>#N/A</c:v>
                </c:pt>
                <c:pt idx="435">
                  <c:v>#N/A</c:v>
                </c:pt>
                <c:pt idx="436">
                  <c:v>#N/A</c:v>
                </c:pt>
                <c:pt idx="437">
                  <c:v>#N/A</c:v>
                </c:pt>
                <c:pt idx="438">
                  <c:v>29.000000000000103</c:v>
                </c:pt>
                <c:pt idx="439">
                  <c:v>#N/A</c:v>
                </c:pt>
                <c:pt idx="440">
                  <c:v>#N/A</c:v>
                </c:pt>
                <c:pt idx="441">
                  <c:v>#N/A</c:v>
                </c:pt>
                <c:pt idx="442">
                  <c:v>#N/A</c:v>
                </c:pt>
                <c:pt idx="443">
                  <c:v>#N/A</c:v>
                </c:pt>
                <c:pt idx="444">
                  <c:v>#N/A</c:v>
                </c:pt>
                <c:pt idx="445">
                  <c:v>#N/A</c:v>
                </c:pt>
                <c:pt idx="446">
                  <c:v>#N/A</c:v>
                </c:pt>
                <c:pt idx="447">
                  <c:v>#N/A</c:v>
                </c:pt>
                <c:pt idx="448">
                  <c:v>30.000000000000117</c:v>
                </c:pt>
                <c:pt idx="449">
                  <c:v>#N/A</c:v>
                </c:pt>
                <c:pt idx="450">
                  <c:v>#N/A</c:v>
                </c:pt>
                <c:pt idx="451">
                  <c:v>#N/A</c:v>
                </c:pt>
                <c:pt idx="452">
                  <c:v>#N/A</c:v>
                </c:pt>
                <c:pt idx="453">
                  <c:v>#N/A</c:v>
                </c:pt>
                <c:pt idx="454">
                  <c:v>#N/A</c:v>
                </c:pt>
                <c:pt idx="455">
                  <c:v>#N/A</c:v>
                </c:pt>
                <c:pt idx="456">
                  <c:v>#N/A</c:v>
                </c:pt>
                <c:pt idx="457">
                  <c:v>#N/A</c:v>
                </c:pt>
                <c:pt idx="458">
                  <c:v>31.000000000000131</c:v>
                </c:pt>
                <c:pt idx="459">
                  <c:v>#N/A</c:v>
                </c:pt>
                <c:pt idx="460">
                  <c:v>#N/A</c:v>
                </c:pt>
                <c:pt idx="461">
                  <c:v>#N/A</c:v>
                </c:pt>
                <c:pt idx="462">
                  <c:v>#N/A</c:v>
                </c:pt>
                <c:pt idx="463">
                  <c:v>#N/A</c:v>
                </c:pt>
                <c:pt idx="464">
                  <c:v>#N/A</c:v>
                </c:pt>
                <c:pt idx="465">
                  <c:v>#N/A</c:v>
                </c:pt>
                <c:pt idx="466">
                  <c:v>#N/A</c:v>
                </c:pt>
                <c:pt idx="467">
                  <c:v>#N/A</c:v>
                </c:pt>
                <c:pt idx="468">
                  <c:v>32.000000000000142</c:v>
                </c:pt>
                <c:pt idx="469">
                  <c:v>#N/A</c:v>
                </c:pt>
                <c:pt idx="470">
                  <c:v>#N/A</c:v>
                </c:pt>
                <c:pt idx="471">
                  <c:v>#N/A</c:v>
                </c:pt>
                <c:pt idx="472">
                  <c:v>#N/A</c:v>
                </c:pt>
                <c:pt idx="473">
                  <c:v>#N/A</c:v>
                </c:pt>
                <c:pt idx="474">
                  <c:v>#N/A</c:v>
                </c:pt>
                <c:pt idx="475">
                  <c:v>#N/A</c:v>
                </c:pt>
                <c:pt idx="476">
                  <c:v>#N/A</c:v>
                </c:pt>
                <c:pt idx="477">
                  <c:v>#N/A</c:v>
                </c:pt>
                <c:pt idx="478">
                  <c:v>33.000000000000156</c:v>
                </c:pt>
                <c:pt idx="479">
                  <c:v>#N/A</c:v>
                </c:pt>
                <c:pt idx="480">
                  <c:v>#N/A</c:v>
                </c:pt>
                <c:pt idx="481">
                  <c:v>#N/A</c:v>
                </c:pt>
                <c:pt idx="482">
                  <c:v>#N/A</c:v>
                </c:pt>
                <c:pt idx="483">
                  <c:v>#N/A</c:v>
                </c:pt>
                <c:pt idx="484">
                  <c:v>#N/A</c:v>
                </c:pt>
                <c:pt idx="485">
                  <c:v>#N/A</c:v>
                </c:pt>
                <c:pt idx="486">
                  <c:v>#N/A</c:v>
                </c:pt>
                <c:pt idx="487">
                  <c:v>#N/A</c:v>
                </c:pt>
                <c:pt idx="488">
                  <c:v>34.000000000000171</c:v>
                </c:pt>
                <c:pt idx="489">
                  <c:v>#N/A</c:v>
                </c:pt>
                <c:pt idx="490">
                  <c:v>#N/A</c:v>
                </c:pt>
                <c:pt idx="491">
                  <c:v>#N/A</c:v>
                </c:pt>
                <c:pt idx="492">
                  <c:v>#N/A</c:v>
                </c:pt>
                <c:pt idx="493">
                  <c:v>#N/A</c:v>
                </c:pt>
                <c:pt idx="494">
                  <c:v>#N/A</c:v>
                </c:pt>
                <c:pt idx="495">
                  <c:v>#N/A</c:v>
                </c:pt>
                <c:pt idx="496">
                  <c:v>#N/A</c:v>
                </c:pt>
                <c:pt idx="497">
                  <c:v>#N/A</c:v>
                </c:pt>
                <c:pt idx="498">
                  <c:v>35.000000000000185</c:v>
                </c:pt>
                <c:pt idx="499">
                  <c:v>#N/A</c:v>
                </c:pt>
                <c:pt idx="500">
                  <c:v>#N/A</c:v>
                </c:pt>
                <c:pt idx="501">
                  <c:v>#N/A</c:v>
                </c:pt>
                <c:pt idx="502">
                  <c:v>#N/A</c:v>
                </c:pt>
                <c:pt idx="503">
                  <c:v>#N/A</c:v>
                </c:pt>
                <c:pt idx="504">
                  <c:v>#N/A</c:v>
                </c:pt>
                <c:pt idx="505">
                  <c:v>#N/A</c:v>
                </c:pt>
                <c:pt idx="506">
                  <c:v>#N/A</c:v>
                </c:pt>
                <c:pt idx="507">
                  <c:v>#N/A</c:v>
                </c:pt>
                <c:pt idx="508">
                  <c:v>36.000000000000199</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497.16938386972515</c:v>
                </c:pt>
                <c:pt idx="1">
                  <c:v>498.89573959931016</c:v>
                </c:pt>
                <c:pt idx="2">
                  <c:v>500.62273167179706</c:v>
                </c:pt>
                <c:pt idx="3">
                  <c:v>502.35320005311092</c:v>
                </c:pt>
                <c:pt idx="4">
                  <c:v>504.08765724446886</c:v>
                </c:pt>
                <c:pt idx="5">
                  <c:v>505.82560681945085</c:v>
                </c:pt>
                <c:pt idx="6">
                  <c:v>507.56685996383527</c:v>
                </c:pt>
                <c:pt idx="7">
                  <c:v>509.31138158541756</c:v>
                </c:pt>
                <c:pt idx="8">
                  <c:v>511.05913664583966</c:v>
                </c:pt>
                <c:pt idx="9">
                  <c:v>512.81009016116366</c:v>
                </c:pt>
                <c:pt idx="10">
                  <c:v>514.56420720243705</c:v>
                </c:pt>
                <c:pt idx="11">
                  <c:v>516.32145289624896</c:v>
                </c:pt>
                <c:pt idx="12">
                  <c:v>518.08179242527808</c:v>
                </c:pt>
                <c:pt idx="13">
                  <c:v>519.84519102883144</c:v>
                </c:pt>
                <c:pt idx="14">
                  <c:v>521.61161400337528</c:v>
                </c:pt>
                <c:pt idx="15">
                  <c:v>523.38102670305636</c:v>
                </c:pt>
                <c:pt idx="16">
                  <c:v>525.1533945402158</c:v>
                </c:pt>
                <c:pt idx="17">
                  <c:v>526.92868298589349</c:v>
                </c:pt>
                <c:pt idx="18">
                  <c:v>528.70685757032436</c:v>
                </c:pt>
                <c:pt idx="19">
                  <c:v>530.48788388342643</c:v>
                </c:pt>
                <c:pt idx="20">
                  <c:v>532.27172757527978</c:v>
                </c:pt>
                <c:pt idx="21">
                  <c:v>534.05835435659776</c:v>
                </c:pt>
                <c:pt idx="22">
                  <c:v>535.84772999918926</c:v>
                </c:pt>
                <c:pt idx="23">
                  <c:v>537.63982033641309</c:v>
                </c:pt>
                <c:pt idx="24">
                  <c:v>539.43459126362404</c:v>
                </c:pt>
                <c:pt idx="25">
                  <c:v>541.23200873860992</c:v>
                </c:pt>
                <c:pt idx="26">
                  <c:v>543.03203878202157</c:v>
                </c:pt>
                <c:pt idx="27">
                  <c:v>544.83464747779362</c:v>
                </c:pt>
                <c:pt idx="28">
                  <c:v>546.63980097355761</c:v>
                </c:pt>
                <c:pt idx="29">
                  <c:v>548.44746548104706</c:v>
                </c:pt>
                <c:pt idx="30">
                  <c:v>550.2576072764939</c:v>
                </c:pt>
                <c:pt idx="31">
                  <c:v>552.07019270101739</c:v>
                </c:pt>
                <c:pt idx="32">
                  <c:v>553.88518816100498</c:v>
                </c:pt>
                <c:pt idx="33">
                  <c:v>555.70256012848495</c:v>
                </c:pt>
                <c:pt idx="34">
                  <c:v>557.52227514149126</c:v>
                </c:pt>
                <c:pt idx="35">
                  <c:v>559.34429980442042</c:v>
                </c:pt>
                <c:pt idx="36">
                  <c:v>561.16860078838067</c:v>
                </c:pt>
                <c:pt idx="37">
                  <c:v>562.99514483153337</c:v>
                </c:pt>
                <c:pt idx="38">
                  <c:v>564.82389873942645</c:v>
                </c:pt>
                <c:pt idx="39">
                  <c:v>566.65482938532023</c:v>
                </c:pt>
                <c:pt idx="40">
                  <c:v>568.48790371050552</c:v>
                </c:pt>
                <c:pt idx="41">
                  <c:v>570.32308872461442</c:v>
                </c:pt>
                <c:pt idx="42">
                  <c:v>572.1603515059229</c:v>
                </c:pt>
                <c:pt idx="43">
                  <c:v>573.99965920164652</c:v>
                </c:pt>
                <c:pt idx="44">
                  <c:v>575.84097902822828</c:v>
                </c:pt>
                <c:pt idx="45">
                  <c:v>577.68427827161906</c:v>
                </c:pt>
                <c:pt idx="46">
                  <c:v>579.52952428755066</c:v>
                </c:pt>
                <c:pt idx="47">
                  <c:v>581.37668450180161</c:v>
                </c:pt>
                <c:pt idx="48">
                  <c:v>583.22572641045554</c:v>
                </c:pt>
                <c:pt idx="49">
                  <c:v>585.07661758015252</c:v>
                </c:pt>
                <c:pt idx="50">
                  <c:v>586.92932564833291</c:v>
                </c:pt>
                <c:pt idx="51">
                  <c:v>588.78381832347418</c:v>
                </c:pt>
                <c:pt idx="52">
                  <c:v>590.64006338532056</c:v>
                </c:pt>
                <c:pt idx="53">
                  <c:v>592.49802868510585</c:v>
                </c:pt>
                <c:pt idx="54">
                  <c:v>594.35768214576876</c:v>
                </c:pt>
                <c:pt idx="55">
                  <c:v>596.21899176216198</c:v>
                </c:pt>
                <c:pt idx="56">
                  <c:v>598.08192560125349</c:v>
                </c:pt>
                <c:pt idx="57">
                  <c:v>599.94645180232192</c:v>
                </c:pt>
                <c:pt idx="58">
                  <c:v>601.81253857714432</c:v>
                </c:pt>
                <c:pt idx="59">
                  <c:v>603.68015421017753</c:v>
                </c:pt>
                <c:pt idx="60">
                  <c:v>605.54926705873288</c:v>
                </c:pt>
                <c:pt idx="61">
                  <c:v>607.41984555314411</c:v>
                </c:pt>
                <c:pt idx="62">
                  <c:v>609.29185819692862</c:v>
                </c:pt>
                <c:pt idx="63">
                  <c:v>611.16526021641982</c:v>
                </c:pt>
                <c:pt idx="64">
                  <c:v>613.03998023910196</c:v>
                </c:pt>
                <c:pt idx="65">
                  <c:v>614.91593370879411</c:v>
                </c:pt>
                <c:pt idx="66">
                  <c:v>616.79303627257457</c:v>
                </c:pt>
                <c:pt idx="67">
                  <c:v>618.67119154378247</c:v>
                </c:pt>
                <c:pt idx="68">
                  <c:v>620.55027889256962</c:v>
                </c:pt>
                <c:pt idx="69">
                  <c:v>622.43014398025457</c:v>
                </c:pt>
                <c:pt idx="70">
                  <c:v>624.3105893178938</c:v>
                </c:pt>
                <c:pt idx="71">
                  <c:v>626.19139614741255</c:v>
                </c:pt>
                <c:pt idx="72">
                  <c:v>628.07234627371463</c:v>
                </c:pt>
                <c:pt idx="73">
                  <c:v>629.95322207108086</c:v>
                </c:pt>
                <c:pt idx="74">
                  <c:v>631.83380648928471</c:v>
                </c:pt>
                <c:pt idx="75">
                  <c:v>633.71388305942742</c:v>
                </c:pt>
                <c:pt idx="76">
                  <c:v>635.5932358994944</c:v>
                </c:pt>
                <c:pt idx="77">
                  <c:v>637.47164971963605</c:v>
                </c:pt>
                <c:pt idx="78">
                  <c:v>639.34890982717468</c:v>
                </c:pt>
                <c:pt idx="79">
                  <c:v>641.22480213134043</c:v>
                </c:pt>
                <c:pt idx="80">
                  <c:v>643.09911314773831</c:v>
                </c:pt>
                <c:pt idx="81">
                  <c:v>644.9716558907736</c:v>
                </c:pt>
                <c:pt idx="82">
                  <c:v>646.84229569084152</c:v>
                </c:pt>
                <c:pt idx="83">
                  <c:v>648.71092415512294</c:v>
                </c:pt>
                <c:pt idx="84">
                  <c:v>650.57743320143447</c:v>
                </c:pt>
                <c:pt idx="85">
                  <c:v>652.44171505816939</c:v>
                </c:pt>
                <c:pt idx="86">
                  <c:v>654.30366226417652</c:v>
                </c:pt>
                <c:pt idx="87">
                  <c:v>656.16316766858006</c:v>
                </c:pt>
                <c:pt idx="88">
                  <c:v>658.020124430539</c:v>
                </c:pt>
                <c:pt idx="89">
                  <c:v>659.8744341973246</c:v>
                </c:pt>
                <c:pt idx="90">
                  <c:v>661.72601525758</c:v>
                </c:pt>
                <c:pt idx="91">
                  <c:v>663.57479431251056</c:v>
                </c:pt>
                <c:pt idx="92">
                  <c:v>665.42069827167882</c:v>
                </c:pt>
                <c:pt idx="93">
                  <c:v>667.26365629703207</c:v>
                </c:pt>
                <c:pt idx="94">
                  <c:v>669.10360184063438</c:v>
                </c:pt>
                <c:pt idx="95">
                  <c:v>670.9404705865926</c:v>
                </c:pt>
                <c:pt idx="96">
                  <c:v>672.77419839923891</c:v>
                </c:pt>
                <c:pt idx="97">
                  <c:v>674.6047295013326</c:v>
                </c:pt>
                <c:pt idx="98">
                  <c:v>676.43202462690215</c:v>
                </c:pt>
                <c:pt idx="99">
                  <c:v>678.25605279092724</c:v>
                </c:pt>
                <c:pt idx="100">
                  <c:v>680.07678308450363</c:v>
                </c:pt>
                <c:pt idx="101">
                  <c:v>681.89418467431676</c:v>
                </c:pt>
                <c:pt idx="102">
                  <c:v>683.70822680211359</c:v>
                </c:pt>
                <c:pt idx="103">
                  <c:v>685.51887878417324</c:v>
                </c:pt>
                <c:pt idx="104">
                  <c:v>687.32611001077612</c:v>
                </c:pt>
                <c:pt idx="105">
                  <c:v>689.12988994567115</c:v>
                </c:pt>
                <c:pt idx="106">
                  <c:v>690.93018812554192</c:v>
                </c:pt>
                <c:pt idx="107">
                  <c:v>692.72697415947118</c:v>
                </c:pt>
                <c:pt idx="108">
                  <c:v>694.52021772840419</c:v>
                </c:pt>
                <c:pt idx="109">
                  <c:v>696.30989880621405</c:v>
                </c:pt>
                <c:pt idx="110">
                  <c:v>698.09601784895585</c:v>
                </c:pt>
                <c:pt idx="111">
                  <c:v>699.87858550997441</c:v>
                </c:pt>
                <c:pt idx="112">
                  <c:v>701.6576123872843</c:v>
                </c:pt>
                <c:pt idx="113">
                  <c:v>703.43310902395137</c:v>
                </c:pt>
                <c:pt idx="114">
                  <c:v>705.20508590847032</c:v>
                </c:pt>
                <c:pt idx="115">
                  <c:v>706.97355347513962</c:v>
                </c:pt>
                <c:pt idx="116">
                  <c:v>708.73852210443295</c:v>
                </c:pt>
                <c:pt idx="117">
                  <c:v>710.50000212336715</c:v>
                </c:pt>
                <c:pt idx="118">
                  <c:v>712.25800380586782</c:v>
                </c:pt>
                <c:pt idx="119">
                  <c:v>714.01253737313061</c:v>
                </c:pt>
                <c:pt idx="120">
                  <c:v>715.7636129939807</c:v>
                </c:pt>
                <c:pt idx="121">
                  <c:v>717.5112407852281</c:v>
                </c:pt>
                <c:pt idx="122">
                  <c:v>719.25543081202034</c:v>
                </c:pt>
                <c:pt idx="123">
                  <c:v>720.99619308819263</c:v>
                </c:pt>
                <c:pt idx="124">
                  <c:v>722.73353757661425</c:v>
                </c:pt>
                <c:pt idx="125">
                  <c:v>724.46747418953225</c:v>
                </c:pt>
                <c:pt idx="126">
                  <c:v>726.19801278891248</c:v>
                </c:pt>
                <c:pt idx="127">
                  <c:v>727.92516318677758</c:v>
                </c:pt>
                <c:pt idx="128">
                  <c:v>729.64893514554217</c:v>
                </c:pt>
                <c:pt idx="129">
                  <c:v>731.36933837834488</c:v>
                </c:pt>
                <c:pt idx="130">
                  <c:v>733.08638254937807</c:v>
                </c:pt>
                <c:pt idx="131">
                  <c:v>734.80007727421435</c:v>
                </c:pt>
                <c:pt idx="132">
                  <c:v>736.51043212013087</c:v>
                </c:pt>
                <c:pt idx="133">
                  <c:v>738.21745660643023</c:v>
                </c:pt>
                <c:pt idx="134">
                  <c:v>739.92116020475919</c:v>
                </c:pt>
                <c:pt idx="135">
                  <c:v>741.62155233942462</c:v>
                </c:pt>
                <c:pt idx="136">
                  <c:v>743.31864238770663</c:v>
                </c:pt>
                <c:pt idx="137">
                  <c:v>745.01243968016945</c:v>
                </c:pt>
                <c:pt idx="138">
                  <c:v>746.70295350096933</c:v>
                </c:pt>
                <c:pt idx="139">
                  <c:v>748.39019308816012</c:v>
                </c:pt>
                <c:pt idx="140">
                  <c:v>750.07416763399613</c:v>
                </c:pt>
                <c:pt idx="141">
                  <c:v>751.75488628523283</c:v>
                </c:pt>
                <c:pt idx="142">
                  <c:v>753.43235814342472</c:v>
                </c:pt>
                <c:pt idx="143">
                  <c:v>755.10659226522091</c:v>
                </c:pt>
                <c:pt idx="144">
                  <c:v>756.77759766265831</c:v>
                </c:pt>
                <c:pt idx="145">
                  <c:v>758.44538330345199</c:v>
                </c:pt>
                <c:pt idx="146">
                  <c:v>760.10995811128396</c:v>
                </c:pt>
                <c:pt idx="147">
                  <c:v>761.77133096608884</c:v>
                </c:pt>
                <c:pt idx="148">
                  <c:v>763.42951070433753</c:v>
                </c:pt>
                <c:pt idx="149">
                  <c:v>765.08450611931846</c:v>
                </c:pt>
                <c:pt idx="150">
                  <c:v>766.73632596141681</c:v>
                </c:pt>
                <c:pt idx="151">
                  <c:v>768.38497893839099</c:v>
                </c:pt>
                <c:pt idx="152">
                  <c:v>770.0304737156473</c:v>
                </c:pt>
                <c:pt idx="153">
                  <c:v>771.67281891651214</c:v>
                </c:pt>
                <c:pt idx="154">
                  <c:v>773.31202312250218</c:v>
                </c:pt>
                <c:pt idx="155">
                  <c:v>774.94809487359191</c:v>
                </c:pt>
                <c:pt idx="156">
                  <c:v>776.58104266847965</c:v>
                </c:pt>
                <c:pt idx="157">
                  <c:v>778.2108749648512</c:v>
                </c:pt>
                <c:pt idx="158">
                  <c:v>779.83760017964096</c:v>
                </c:pt>
                <c:pt idx="159">
                  <c:v>781.46122668929161</c:v>
                </c:pt>
                <c:pt idx="160">
                  <c:v>783.08176283001126</c:v>
                </c:pt>
                <c:pt idx="161">
                  <c:v>784.69921689802857</c:v>
                </c:pt>
                <c:pt idx="162">
                  <c:v>786.31359714984615</c:v>
                </c:pt>
                <c:pt idx="163">
                  <c:v>787.92491180249147</c:v>
                </c:pt>
                <c:pt idx="164">
                  <c:v>789.53316903376628</c:v>
                </c:pt>
                <c:pt idx="165">
                  <c:v>791.13837698249358</c:v>
                </c:pt>
                <c:pt idx="166">
                  <c:v>792.74054374876289</c:v>
                </c:pt>
                <c:pt idx="167">
                  <c:v>794.33967739417358</c:v>
                </c:pt>
                <c:pt idx="168">
                  <c:v>795.93578594207611</c:v>
                </c:pt>
                <c:pt idx="169">
                  <c:v>797.52887737781168</c:v>
                </c:pt>
                <c:pt idx="170">
                  <c:v>799.11895964894961</c:v>
                </c:pt>
                <c:pt idx="171">
                  <c:v>800.70604066552289</c:v>
                </c:pt>
                <c:pt idx="172">
                  <c:v>802.29012830026238</c:v>
                </c:pt>
                <c:pt idx="173">
                  <c:v>803.87123038882839</c:v>
                </c:pt>
                <c:pt idx="174">
                  <c:v>805.44935473004125</c:v>
                </c:pt>
                <c:pt idx="175">
                  <c:v>807.02450908610933</c:v>
                </c:pt>
                <c:pt idx="176">
                  <c:v>808.5967011828559</c:v>
                </c:pt>
                <c:pt idx="177">
                  <c:v>810.1659387099437</c:v>
                </c:pt>
                <c:pt idx="178">
                  <c:v>811.73222932109832</c:v>
                </c:pt>
                <c:pt idx="179">
                  <c:v>813.29558063432921</c:v>
                </c:pt>
                <c:pt idx="180">
                  <c:v>814.85600023214954</c:v>
                </c:pt>
                <c:pt idx="181">
                  <c:v>816.41349566179395</c:v>
                </c:pt>
                <c:pt idx="182">
                  <c:v>817.96807443543491</c:v>
                </c:pt>
                <c:pt idx="183">
                  <c:v>819.51974403039719</c:v>
                </c:pt>
                <c:pt idx="184">
                  <c:v>821.06851188937071</c:v>
                </c:pt>
                <c:pt idx="185">
                  <c:v>822.61438542062194</c:v>
                </c:pt>
                <c:pt idx="186">
                  <c:v>824.15737199820353</c:v>
                </c:pt>
                <c:pt idx="187">
                  <c:v>825.69747896216211</c:v>
                </c:pt>
                <c:pt idx="188">
                  <c:v>827.23471361874499</c:v>
                </c:pt>
                <c:pt idx="189">
                  <c:v>828.76908324060491</c:v>
                </c:pt>
                <c:pt idx="190">
                  <c:v>830.30059506700343</c:v>
                </c:pt>
                <c:pt idx="191">
                  <c:v>831.82925630401223</c:v>
                </c:pt>
                <c:pt idx="192">
                  <c:v>833.35507412471395</c:v>
                </c:pt>
                <c:pt idx="193">
                  <c:v>834.87805566940051</c:v>
                </c:pt>
                <c:pt idx="194">
                  <c:v>836.39820804577016</c:v>
                </c:pt>
                <c:pt idx="195">
                  <c:v>837.91553832912325</c:v>
                </c:pt>
                <c:pt idx="196">
                  <c:v>839.43005356255674</c:v>
                </c:pt>
                <c:pt idx="197">
                  <c:v>840.94176075715643</c:v>
                </c:pt>
                <c:pt idx="198">
                  <c:v>842.45066689218856</c:v>
                </c:pt>
                <c:pt idx="199">
                  <c:v>843.95677891528931</c:v>
                </c:pt>
                <c:pt idx="200">
                  <c:v>845.46010374265359</c:v>
                </c:pt>
                <c:pt idx="201">
                  <c:v>860.34058948310269</c:v>
                </c:pt>
                <c:pt idx="202">
                  <c:v>874.94677406198548</c:v>
                </c:pt>
                <c:pt idx="203">
                  <c:v>889.28528057435142</c:v>
                </c:pt>
                <c:pt idx="204">
                  <c:v>903.36244111234146</c:v>
                </c:pt>
                <c:pt idx="205">
                  <c:v>917.18431336203446</c:v>
                </c:pt>
                <c:pt idx="206">
                  <c:v>930.75669601764514</c:v>
                </c:pt>
                <c:pt idx="207">
                  <c:v>944.08514311313081</c:v>
                </c:pt>
                <c:pt idx="208">
                  <c:v>957.17497736148778</c:v>
                </c:pt>
                <c:pt idx="209">
                  <c:v>970.03130258331862</c:v>
                </c:pt>
                <c:pt idx="210">
                  <c:v>982.65901529849975</c:v>
                </c:pt>
                <c:pt idx="211">
                  <c:v>995.06281554786165</c:v>
                </c:pt>
                <c:pt idx="212">
                  <c:v>1007.2472170056067</c:v>
                </c:pt>
                <c:pt idx="213">
                  <c:v>1019.2165564376544</c:v>
                </c:pt>
                <c:pt idx="214">
                  <c:v>1030.9750025561332</c:v>
                </c:pt>
                <c:pt idx="215">
                  <c:v>1042.5265643157777</c:v>
                </c:pt>
                <c:pt idx="216">
                  <c:v>1053.8750986939813</c:v>
                </c:pt>
                <c:pt idx="217">
                  <c:v>1065.0243179926308</c:v>
                </c:pt>
                <c:pt idx="218">
                  <c:v>1075.9777966966003</c:v>
                </c:pt>
                <c:pt idx="219">
                  <c:v>1086.7389779208268</c:v>
                </c:pt>
                <c:pt idx="220">
                  <c:v>1097.3111794752342</c:v>
                </c:pt>
                <c:pt idx="221">
                  <c:v>1107.6975995743564</c:v>
                </c:pt>
                <c:pt idx="222">
                  <c:v>1117.9013222163239</c:v>
                </c:pt>
                <c:pt idx="223">
                  <c:v>1127.9253222538971</c:v>
                </c:pt>
                <c:pt idx="224">
                  <c:v>1137.7724701784193</c:v>
                </c:pt>
                <c:pt idx="225">
                  <c:v>1147.4455366359275</c:v>
                </c:pt>
                <c:pt idx="226">
                  <c:v>1156.9471966931587</c:v>
                </c:pt>
                <c:pt idx="227">
                  <c:v>1166.2800338698287</c:v>
                </c:pt>
                <c:pt idx="228">
                  <c:v>1175.4465439523137</c:v>
                </c:pt>
                <c:pt idx="229">
                  <c:v>1184.4491386027316</c:v>
                </c:pt>
                <c:pt idx="230">
                  <c:v>1193.2901487763725</c:v>
                </c:pt>
                <c:pt idx="231">
                  <c:v>1201.9718279594815</c:v>
                </c:pt>
                <c:pt idx="232">
                  <c:v>1210.4963552385216</c:v>
                </c:pt>
                <c:pt idx="233">
                  <c:v>1218.8658382112392</c:v>
                </c:pt>
                <c:pt idx="234">
                  <c:v>1227.0823157491263</c:v>
                </c:pt>
                <c:pt idx="235">
                  <c:v>1235.1477606201915</c:v>
                </c:pt>
                <c:pt idx="236">
                  <c:v>1243.0640819803316</c:v>
                </c:pt>
                <c:pt idx="237">
                  <c:v>1250.8331277410227</c:v>
                </c:pt>
                <c:pt idx="238">
                  <c:v>1258.4566868205245</c:v>
                </c:pt>
                <c:pt idx="239">
                  <c:v>1265.9364912852984</c:v>
                </c:pt>
                <c:pt idx="240">
                  <c:v>1273.2742183878981</c:v>
                </c:pt>
                <c:pt idx="241">
                  <c:v>1280.4714925071723</c:v>
                </c:pt>
                <c:pt idx="242">
                  <c:v>1287.5298869962357</c:v>
                </c:pt>
                <c:pt idx="243">
                  <c:v>1294.4509259433123</c:v>
                </c:pt>
                <c:pt idx="244">
                  <c:v>1301.2360858502236</c:v>
                </c:pt>
                <c:pt idx="245">
                  <c:v>1307.886797232994</c:v>
                </c:pt>
                <c:pt idx="246">
                  <c:v>1314.4044461487588</c:v>
                </c:pt>
                <c:pt idx="247">
                  <c:v>1320.7903756529063</c:v>
                </c:pt>
                <c:pt idx="248">
                  <c:v>1327.0458871901365</c:v>
                </c:pt>
                <c:pt idx="249">
                  <c:v>1333.172241922897</c:v>
                </c:pt>
                <c:pt idx="250">
                  <c:v>1339.1706620004506</c:v>
                </c:pt>
                <c:pt idx="251">
                  <c:v>1345.04233177163</c:v>
                </c:pt>
                <c:pt idx="252">
                  <c:v>1350.7883989441607</c:v>
                </c:pt>
                <c:pt idx="253">
                  <c:v>1356.4099756932626</c:v>
                </c:pt>
                <c:pt idx="254">
                  <c:v>1361.9081397220871</c:v>
                </c:pt>
                <c:pt idx="255">
                  <c:v>1367.2839352764031</c:v>
                </c:pt>
                <c:pt idx="256">
                  <c:v>1372.5383741158123</c:v>
                </c:pt>
                <c:pt idx="257">
                  <c:v>1377.6724364436477</c:v>
                </c:pt>
                <c:pt idx="258">
                  <c:v>1382.6870717975996</c:v>
                </c:pt>
                <c:pt idx="259">
                  <c:v>1387.5831999030042</c:v>
                </c:pt>
                <c:pt idx="260">
                  <c:v>1392.3617114906324</c:v>
                </c:pt>
                <c:pt idx="261">
                  <c:v>1397.0234690807297</c:v>
                </c:pt>
                <c:pt idx="262">
                  <c:v>1401.5693077349738</c:v>
                </c:pt>
                <c:pt idx="263">
                  <c:v>1406.0000357779422</c:v>
                </c:pt>
                <c:pt idx="264">
                  <c:v>1410.3164354896151</c:v>
                </c:pt>
                <c:pt idx="265">
                  <c:v>1414.5192637703781</c:v>
                </c:pt>
                <c:pt idx="266">
                  <c:v>1418.6092527799356</c:v>
                </c:pt>
                <c:pt idx="267">
                  <c:v>1422.5871105514993</c:v>
                </c:pt>
                <c:pt idx="268">
                  <c:v>1426.4535215825749</c:v>
                </c:pt>
                <c:pt idx="269">
                  <c:v>1430.2091474036406</c:v>
                </c:pt>
                <c:pt idx="270">
                  <c:v>1433.8546271259822</c:v>
                </c:pt>
                <c:pt idx="271">
                  <c:v>1437.3905779699351</c:v>
                </c:pt>
                <c:pt idx="272">
                  <c:v>1440.8175957747701</c:v>
                </c:pt>
                <c:pt idx="273">
                  <c:v>1444.1362554914645</c:v>
                </c:pt>
                <c:pt idx="274">
                  <c:v>1447.3471116596004</c:v>
                </c:pt>
                <c:pt idx="275">
                  <c:v>1450.4506988696583</c:v>
                </c:pt>
                <c:pt idx="276">
                  <c:v>1453.4475322119943</c:v>
                </c:pt>
                <c:pt idx="277">
                  <c:v>1456.3381077138356</c:v>
                </c:pt>
                <c:pt idx="278">
                  <c:v>1459.1229027656755</c:v>
                </c:pt>
                <c:pt idx="279">
                  <c:v>1461.8023765385194</c:v>
                </c:pt>
                <c:pt idx="280">
                  <c:v>1464.3769703935079</c:v>
                </c:pt>
                <c:pt idx="281">
                  <c:v>1466.8471082855417</c:v>
                </c:pt>
                <c:pt idx="282">
                  <c:v>1469.2131971626427</c:v>
                </c:pt>
                <c:pt idx="283">
                  <c:v>1471.4756273629116</c:v>
                </c:pt>
                <c:pt idx="284">
                  <c:v>1473.6347730110911</c:v>
                </c:pt>
                <c:pt idx="285">
                  <c:v>1475.690992416899</c:v>
                </c:pt>
                <c:pt idx="286">
                  <c:v>1477.6446284774804</c:v>
                </c:pt>
                <c:pt idx="287">
                  <c:v>1479.4960090865077</c:v>
                </c:pt>
                <c:pt idx="288">
                  <c:v>1481.2454475526677</c:v>
                </c:pt>
                <c:pt idx="289">
                  <c:v>1482.8932430304676</c:v>
                </c:pt>
                <c:pt idx="290">
                  <c:v>1484.4396809664947</c:v>
                </c:pt>
                <c:pt idx="291">
                  <c:v>1485.8850335644427</c:v>
                </c:pt>
                <c:pt idx="292">
                  <c:v>1487.2295602723659</c:v>
                </c:pt>
                <c:pt idx="293">
                  <c:v>1488.4735082957209</c:v>
                </c:pt>
                <c:pt idx="294">
                  <c:v>1489.6171131397746</c:v>
                </c:pt>
                <c:pt idx="295">
                  <c:v>1490.660599184883</c:v>
                </c:pt>
                <c:pt idx="296">
                  <c:v>1491.6041802979344</c:v>
                </c:pt>
                <c:pt idx="297">
                  <c:v>1492.4480604828766</c:v>
                </c:pt>
                <c:pt idx="298">
                  <c:v>1493.1924345726979</c:v>
                </c:pt>
                <c:pt idx="299">
                  <c:v>1493.8374889644558</c:v>
                </c:pt>
                <c:pt idx="300">
                  <c:v>1494.3834023979637</c:v>
                </c:pt>
                <c:pt idx="301">
                  <c:v>1494.8303467775438</c:v>
                </c:pt>
                <c:pt idx="302">
                  <c:v>1495.1784880348675</c:v>
                </c:pt>
                <c:pt idx="303">
                  <c:v>1495.4279870293822</c:v>
                </c:pt>
                <c:pt idx="304">
                  <c:v>1495.579000481247</c:v>
                </c:pt>
                <c:pt idx="305">
                  <c:v>1495.6316819301612</c:v>
                </c:pt>
                <c:pt idx="306">
                  <c:v>1495.5861827120787</c:v>
                </c:pt>
                <c:pt idx="307">
                  <c:v>1495.4426529446762</c:v>
                </c:pt>
                <c:pt idx="308">
                  <c:v>1495.2012425116748</c:v>
                </c:pt>
                <c:pt idx="309">
                  <c:v>1494.8621020357705</c:v>
                </c:pt>
                <c:pt idx="310">
                  <c:v>1494.4253838300574</c:v>
                </c:pt>
                <c:pt idx="311">
                  <c:v>1493.8912428183949</c:v>
                </c:pt>
                <c:pt idx="312">
                  <c:v>1493.2598374161428</c:v>
                </c:pt>
                <c:pt idx="313">
                  <c:v>1492.5313303639764</c:v>
                </c:pt>
                <c:pt idx="314">
                  <c:v>1491.7058895089804</c:v>
                </c:pt>
                <c:pt idx="315">
                  <c:v>1490.7836885288059</c:v>
                </c:pt>
                <c:pt idx="316">
                  <c:v>1489.7649075962474</c:v>
                </c:pt>
                <c:pt idx="317">
                  <c:v>1488.6497339830596</c:v>
                </c:pt>
                <c:pt idx="318">
                  <c:v>1487.4383626031372</c:v>
                </c:pt>
                <c:pt idx="319">
                  <c:v>1486.1309964962697</c:v>
                </c:pt>
                <c:pt idx="320">
                  <c:v>1484.7278472545513</c:v>
                </c:pt>
                <c:pt idx="321">
                  <c:v>1483.2291353941666</c:v>
                </c:pt>
                <c:pt idx="322">
                  <c:v>1481.6350906757191</c:v>
                </c:pt>
                <c:pt idx="323">
                  <c:v>1479.9459523765213</c:v>
                </c:pt>
                <c:pt idx="324">
                  <c:v>1478.1619695183888</c:v>
                </c:pt>
                <c:pt idx="325">
                  <c:v>1476.2834010544673</c:v>
                </c:pt>
                <c:pt idx="326">
                  <c:v>1474.3105160185323</c:v>
                </c:pt>
                <c:pt idx="327">
                  <c:v>1472.2435936400507</c:v>
                </c:pt>
                <c:pt idx="328">
                  <c:v>1470.0829234280875</c:v>
                </c:pt>
                <c:pt idx="329">
                  <c:v>1467.8288052269343</c:v>
                </c:pt>
                <c:pt idx="330">
                  <c:v>1465.4815492460955</c:v>
                </c:pt>
                <c:pt idx="331">
                  <c:v>1463.0414760670474</c:v>
                </c:pt>
                <c:pt idx="332">
                  <c:v>1460.5089166289581</c:v>
                </c:pt>
                <c:pt idx="333">
                  <c:v>1457.8842121953503</c:v>
                </c:pt>
                <c:pt idx="334">
                  <c:v>1455.1677143034869</c:v>
                </c:pt>
                <c:pt idx="335">
                  <c:v>1452.359784698087</c:v>
                </c:pt>
                <c:pt idx="336">
                  <c:v>1449.4607952508086</c:v>
                </c:pt>
                <c:pt idx="337">
                  <c:v>1446.4711278667953</c:v>
                </c:pt>
                <c:pt idx="338">
                  <c:v>1443.3911743794451</c:v>
                </c:pt>
                <c:pt idx="339">
                  <c:v>1440.2213364344457</c:v>
                </c:pt>
                <c:pt idx="340">
                  <c:v>1436.9620253640176</c:v>
                </c:pt>
                <c:pt idx="341">
                  <c:v>1433.6136620522122</c:v>
                </c:pt>
                <c:pt idx="342">
                  <c:v>1430.176676792034</c:v>
                </c:pt>
                <c:pt idx="343">
                  <c:v>1426.6515091350793</c:v>
                </c:pt>
                <c:pt idx="344">
                  <c:v>1423.0386077343308</c:v>
                </c:pt>
                <c:pt idx="345">
                  <c:v>1419.3384301806809</c:v>
                </c:pt>
                <c:pt idx="346">
                  <c:v>1415.5514428337206</c:v>
                </c:pt>
                <c:pt idx="347">
                  <c:v>1411.6781206472765</c:v>
                </c:pt>
                <c:pt idx="348">
                  <c:v>1407.7189469901525</c:v>
                </c:pt>
                <c:pt idx="349">
                  <c:v>1403.6744134624894</c:v>
                </c:pt>
                <c:pt idx="350">
                  <c:v>1399.5450197081373</c:v>
                </c:pt>
                <c:pt idx="351">
                  <c:v>1395.3312732234001</c:v>
                </c:pt>
                <c:pt idx="352">
                  <c:v>1391.0336891624979</c:v>
                </c:pt>
                <c:pt idx="353">
                  <c:v>1386.652790140065</c:v>
                </c:pt>
                <c:pt idx="354">
                  <c:v>1382.1891060309893</c:v>
                </c:pt>
                <c:pt idx="355">
                  <c:v>1377.6431737678802</c:v>
                </c:pt>
                <c:pt idx="356">
                  <c:v>1373.0155371364376</c:v>
                </c:pt>
                <c:pt idx="357">
                  <c:v>1368.3067465689817</c:v>
                </c:pt>
                <c:pt idx="358">
                  <c:v>1363.5173589363935</c:v>
                </c:pt>
                <c:pt idx="359">
                  <c:v>1358.6479373387012</c:v>
                </c:pt>
                <c:pt idx="360">
                  <c:v>1353.6990508945419</c:v>
                </c:pt>
                <c:pt idx="361">
                  <c:v>1348.6712745297152</c:v>
                </c:pt>
                <c:pt idx="362">
                  <c:v>1343.5651887650415</c:v>
                </c:pt>
                <c:pt idx="363">
                  <c:v>1338.3813795037227</c:v>
                </c:pt>
                <c:pt idx="364">
                  <c:v>1333.1204378184036</c:v>
                </c:pt>
                <c:pt idx="365">
                  <c:v>1327.7829597381199</c:v>
                </c:pt>
                <c:pt idx="366">
                  <c:v>1322.3695460353131</c:v>
                </c:pt>
                <c:pt idx="367">
                  <c:v>1316.8808020130878</c:v>
                </c:pt>
                <c:pt idx="368">
                  <c:v>1311.3173372928791</c:v>
                </c:pt>
                <c:pt idx="369">
                  <c:v>1305.679765602692</c:v>
                </c:pt>
                <c:pt idx="370">
                  <c:v>1299.9687045660703</c:v>
                </c:pt>
                <c:pt idx="371">
                  <c:v>1294.1847754919459</c:v>
                </c:pt>
                <c:pt idx="372">
                  <c:v>1288.3286031655127</c:v>
                </c:pt>
                <c:pt idx="373">
                  <c:v>1282.4008156402683</c:v>
                </c:pt>
                <c:pt idx="374">
                  <c:v>1276.4020440313552</c:v>
                </c:pt>
                <c:pt idx="375">
                  <c:v>1270.3329223103353</c:v>
                </c:pt>
                <c:pt idx="376">
                  <c:v>1264.194087101519</c:v>
                </c:pt>
                <c:pt idx="377">
                  <c:v>1257.9861774799717</c:v>
                </c:pt>
                <c:pt idx="378">
                  <c:v>1251.7098347713118</c:v>
                </c:pt>
                <c:pt idx="379">
                  <c:v>1245.3657023534106</c:v>
                </c:pt>
                <c:pt idx="380">
                  <c:v>1238.9544254601005</c:v>
                </c:pt>
                <c:pt idx="381">
                  <c:v>1232.4766509869917</c:v>
                </c:pt>
                <c:pt idx="382">
                  <c:v>1225.933027299493</c:v>
                </c:pt>
                <c:pt idx="383">
                  <c:v>1219.3242040431317</c:v>
                </c:pt>
                <c:pt idx="384">
                  <c:v>1212.6508319562545</c:v>
                </c:pt>
                <c:pt idx="385">
                  <c:v>1205.9135626851976</c:v>
                </c:pt>
                <c:pt idx="386">
                  <c:v>1199.1130486020004</c:v>
                </c:pt>
                <c:pt idx="387">
                  <c:v>1192.2499426247384</c:v>
                </c:pt>
                <c:pt idx="388">
                  <c:v>1185.3248980405447</c:v>
                </c:pt>
                <c:pt idx="389">
                  <c:v>1178.3385683313841</c:v>
                </c:pt>
                <c:pt idx="390">
                  <c:v>1171.291607002644</c:v>
                </c:pt>
                <c:pt idx="391">
                  <c:v>1164.184667414595</c:v>
                </c:pt>
                <c:pt idx="392">
                  <c:v>1157.0184026167769</c:v>
                </c:pt>
                <c:pt idx="393">
                  <c:v>1149.7934651853589</c:v>
                </c:pt>
                <c:pt idx="394">
                  <c:v>1142.5105070635166</c:v>
                </c:pt>
                <c:pt idx="395">
                  <c:v>1135.1701794048695</c:v>
                </c:pt>
                <c:pt idx="396">
                  <c:v>1127.7731324200142</c:v>
                </c:pt>
                <c:pt idx="397">
                  <c:v>1120.3200152261882</c:v>
                </c:pt>
                <c:pt idx="398">
                  <c:v>1112.8114757000931</c:v>
                </c:pt>
                <c:pt idx="399">
                  <c:v>1105.2481603339036</c:v>
                </c:pt>
                <c:pt idx="400">
                  <c:v>1097.6307140944857</c:v>
                </c:pt>
                <c:pt idx="401">
                  <c:v>1089.959780285843</c:v>
                </c:pt>
                <c:pt idx="402">
                  <c:v>1082.2360004148056</c:v>
                </c:pt>
                <c:pt idx="403">
                  <c:v>1074.4600140599773</c:v>
                </c:pt>
                <c:pt idx="404">
                  <c:v>1066.6324587439476</c:v>
                </c:pt>
                <c:pt idx="405">
                  <c:v>1058.7539698087771</c:v>
                </c:pt>
                <c:pt idx="406">
                  <c:v>1050.8251802947589</c:v>
                </c:pt>
                <c:pt idx="407">
                  <c:v>1042.8467208224554</c:v>
                </c:pt>
                <c:pt idx="408">
                  <c:v>1034.8192194780113</c:v>
                </c:pt>
                <c:pt idx="409">
                  <c:v>1026.743301701734</c:v>
                </c:pt>
                <c:pt idx="410">
                  <c:v>1018.6195901799366</c:v>
                </c:pt>
                <c:pt idx="411">
                  <c:v>1010.448704740032</c:v>
                </c:pt>
                <c:pt idx="412">
                  <c:v>1002.231262248866</c:v>
                </c:pt>
                <c:pt idx="413">
                  <c:v>993.96787651427383</c:v>
                </c:pt>
                <c:pt idx="414">
                  <c:v>985.65915818984342</c:v>
                </c:pt>
                <c:pt idx="415">
                  <c:v>977.30571468286564</c:v>
                </c:pt>
                <c:pt idx="416">
                  <c:v>968.90815006544972</c:v>
                </c:pt>
                <c:pt idx="417">
                  <c:v>960.46706498878098</c:v>
                </c:pt>
                <c:pt idx="418">
                  <c:v>951.98305660049482</c:v>
                </c:pt>
                <c:pt idx="419">
                  <c:v>943.45671846513994</c:v>
                </c:pt>
                <c:pt idx="420">
                  <c:v>934.88864048770131</c:v>
                </c:pt>
                <c:pt idx="421">
                  <c:v>926.27940884015345</c:v>
                </c:pt>
                <c:pt idx="422">
                  <c:v>917.62960589100999</c:v>
                </c:pt>
                <c:pt idx="423">
                  <c:v>908.93981013783753</c:v>
                </c:pt>
                <c:pt idx="424">
                  <c:v>900.21059614269745</c:v>
                </c:pt>
                <c:pt idx="425">
                  <c:v>891.44253447048027</c:v>
                </c:pt>
                <c:pt idx="426">
                  <c:v>882.636191630094</c:v>
                </c:pt>
                <c:pt idx="427">
                  <c:v>873.79213001846813</c:v>
                </c:pt>
                <c:pt idx="428">
                  <c:v>864.910907867334</c:v>
                </c:pt>
                <c:pt idx="429">
                  <c:v>855.9930791927394</c:v>
                </c:pt>
                <c:pt idx="430">
                  <c:v>847.03919374725672</c:v>
                </c:pt>
                <c:pt idx="431">
                  <c:v>838.04979697484168</c:v>
                </c:pt>
                <c:pt idx="432">
                  <c:v>829.02542996829959</c:v>
                </c:pt>
                <c:pt idx="433">
                  <c:v>819.96662942931414</c:v>
                </c:pt>
                <c:pt idx="434">
                  <c:v>810.87392763099501</c:v>
                </c:pt>
                <c:pt idx="435">
                  <c:v>801.7478523828986</c:v>
                </c:pt>
                <c:pt idx="436">
                  <c:v>792.58892699847638</c:v>
                </c:pt>
                <c:pt idx="437">
                  <c:v>783.39767026490404</c:v>
                </c:pt>
                <c:pt idx="438">
                  <c:v>774.17459641524511</c:v>
                </c:pt>
                <c:pt idx="439">
                  <c:v>764.92021510290283</c:v>
                </c:pt>
                <c:pt idx="440">
                  <c:v>755.63503137831196</c:v>
                </c:pt>
                <c:pt idx="441">
                  <c:v>746.31954566782406</c:v>
                </c:pt>
                <c:pt idx="442">
                  <c:v>736.97425375473767</c:v>
                </c:pt>
                <c:pt idx="443">
                  <c:v>727.59964676242737</c:v>
                </c:pt>
                <c:pt idx="444">
                  <c:v>718.19621113952212</c:v>
                </c:pt>
                <c:pt idx="445">
                  <c:v>708.76442864708645</c:v>
                </c:pt>
                <c:pt idx="446">
                  <c:v>699.30477634775661</c:v>
                </c:pt>
                <c:pt idx="447">
                  <c:v>689.81772659678381</c:v>
                </c:pt>
                <c:pt idx="448">
                  <c:v>680.30374703493715</c:v>
                </c:pt>
                <c:pt idx="449">
                  <c:v>670.76330058321935</c:v>
                </c:pt>
                <c:pt idx="450">
                  <c:v>661.19684543934761</c:v>
                </c:pt>
                <c:pt idx="451">
                  <c:v>651.60483507595302</c:v>
                </c:pt>
                <c:pt idx="452">
                  <c:v>641.9877182404523</c:v>
                </c:pt>
                <c:pt idx="453">
                  <c:v>632.34593895654507</c:v>
                </c:pt>
                <c:pt idx="454">
                  <c:v>622.67993652729092</c:v>
                </c:pt>
                <c:pt idx="455">
                  <c:v>612.99014553972074</c:v>
                </c:pt>
                <c:pt idx="456">
                  <c:v>603.2769958709373</c:v>
                </c:pt>
                <c:pt idx="457">
                  <c:v>593.5409126956605</c:v>
                </c:pt>
                <c:pt idx="458">
                  <c:v>583.78231649517204</c:v>
                </c:pt>
                <c:pt idx="459">
                  <c:v>574.00162306761729</c:v>
                </c:pt>
                <c:pt idx="460">
                  <c:v>564.19924353961949</c:v>
                </c:pt>
                <c:pt idx="461">
                  <c:v>554.37558437916482</c:v>
                </c:pt>
                <c:pt idx="462">
                  <c:v>544.53104740971503</c:v>
                </c:pt>
                <c:pt idx="463">
                  <c:v>534.66602982550648</c:v>
                </c:pt>
                <c:pt idx="464">
                  <c:v>524.78092420799453</c:v>
                </c:pt>
                <c:pt idx="465">
                  <c:v>514.87611854340253</c:v>
                </c:pt>
                <c:pt idx="466">
                  <c:v>504.95199624133528</c:v>
                </c:pt>
                <c:pt idx="467">
                  <c:v>495.008936154418</c:v>
                </c:pt>
                <c:pt idx="468">
                  <c:v>485.04731259892208</c:v>
                </c:pt>
                <c:pt idx="469">
                  <c:v>475.06749537633897</c:v>
                </c:pt>
                <c:pt idx="470">
                  <c:v>465.06984979586571</c:v>
                </c:pt>
                <c:pt idx="471">
                  <c:v>455.05473669776433</c:v>
                </c:pt>
                <c:pt idx="472">
                  <c:v>445.02251247755959</c:v>
                </c:pt>
                <c:pt idx="473">
                  <c:v>434.97352911103945</c:v>
                </c:pt>
                <c:pt idx="474">
                  <c:v>424.9081341800233</c:v>
                </c:pt>
                <c:pt idx="475">
                  <c:v>414.82667089886405</c:v>
                </c:pt>
                <c:pt idx="476">
                  <c:v>404.72947814165047</c:v>
                </c:pt>
                <c:pt idx="477">
                  <c:v>394.6168904700769</c:v>
                </c:pt>
                <c:pt idx="478">
                  <c:v>384.48923816194844</c:v>
                </c:pt>
                <c:pt idx="479">
                  <c:v>374.34684724029006</c:v>
                </c:pt>
                <c:pt idx="480">
                  <c:v>364.19003950302886</c:v>
                </c:pt>
                <c:pt idx="481">
                  <c:v>354.01913255321926</c:v>
                </c:pt>
                <c:pt idx="482">
                  <c:v>343.83443982978218</c:v>
                </c:pt>
                <c:pt idx="483">
                  <c:v>333.63627063872889</c:v>
                </c:pt>
                <c:pt idx="484">
                  <c:v>323.42493018484203</c:v>
                </c:pt>
                <c:pt idx="485">
                  <c:v>313.20071960378584</c:v>
                </c:pt>
                <c:pt idx="486">
                  <c:v>302.96393599461936</c:v>
                </c:pt>
                <c:pt idx="487">
                  <c:v>292.71487245268634</c:v>
                </c:pt>
                <c:pt idx="488">
                  <c:v>282.45381810285625</c:v>
                </c:pt>
                <c:pt idx="489">
                  <c:v>272.18105813309217</c:v>
                </c:pt>
                <c:pt idx="490">
                  <c:v>261.89687382832085</c:v>
                </c:pt>
                <c:pt idx="491">
                  <c:v>251.60154260458182</c:v>
                </c:pt>
                <c:pt idx="492">
                  <c:v>241.29533804343254</c:v>
                </c:pt>
                <c:pt idx="493">
                  <c:v>230.9785299265875</c:v>
                </c:pt>
                <c:pt idx="494">
                  <c:v>220.65138427076971</c:v>
                </c:pt>
                <c:pt idx="495">
                  <c:v>210.31416336275325</c:v>
                </c:pt>
                <c:pt idx="496">
                  <c:v>199.96712579457699</c:v>
                </c:pt>
                <c:pt idx="497">
                  <c:v>189.61052649890928</c:v>
                </c:pt>
                <c:pt idx="498">
                  <c:v>179.24461678454475</c:v>
                </c:pt>
                <c:pt idx="499">
                  <c:v>168.86964437201419</c:v>
                </c:pt>
                <c:pt idx="500">
                  <c:v>158.48585342928996</c:v>
                </c:pt>
                <c:pt idx="501">
                  <c:v>148.09348460756894</c:v>
                </c:pt>
                <c:pt idx="502">
                  <c:v>137.69277507711647</c:v>
                </c:pt>
                <c:pt idx="503">
                  <c:v>127.28395856315478</c:v>
                </c:pt>
                <c:pt idx="504">
                  <c:v>116.86726538177996</c:v>
                </c:pt>
                <c:pt idx="505">
                  <c:v>106.44292247589216</c:v>
                </c:pt>
                <c:pt idx="506">
                  <c:v>96.011153451124414</c:v>
                </c:pt>
                <c:pt idx="507">
                  <c:v>85.572178611755476</c:v>
                </c:pt>
                <c:pt idx="508">
                  <c:v>75.126214996593134</c:v>
                </c:pt>
                <c:pt idx="509">
                  <c:v>64.673476414814573</c:v>
                </c:pt>
                <c:pt idx="510">
                  <c:v>54.214173481750855</c:v>
                </c:pt>
                <c:pt idx="511">
                  <c:v>43.748513654603386</c:v>
                </c:pt>
                <c:pt idx="512">
                  <c:v>33.276701268080238</c:v>
                </c:pt>
                <c:pt idx="513">
                  <c:v>22.798937569940996</c:v>
                </c:pt>
                <c:pt idx="514">
                  <c:v>12.315420756439096</c:v>
                </c:pt>
                <c:pt idx="515">
                  <c:v>1.8263460076510505</c:v>
                </c:pt>
                <c:pt idx="516">
                  <c:v>-8.6680944773175739</c:v>
                </c:pt>
                <c:pt idx="517">
                  <c:v>-8.6785915555325754</c:v>
                </c:pt>
                <c:pt idx="518">
                  <c:v>-8.6890886388300732</c:v>
                </c:pt>
                <c:pt idx="519">
                  <c:v>-8.6995857272098824</c:v>
                </c:pt>
                <c:pt idx="520">
                  <c:v>-8.7100828206718184</c:v>
                </c:pt>
                <c:pt idx="521">
                  <c:v>-8.7205799192156963</c:v>
                </c:pt>
                <c:pt idx="522">
                  <c:v>-8.7310770228413315</c:v>
                </c:pt>
                <c:pt idx="523">
                  <c:v>-8.7415741315485391</c:v>
                </c:pt>
                <c:pt idx="524">
                  <c:v>-8.7520712453371345</c:v>
                </c:pt>
                <c:pt idx="525">
                  <c:v>-8.7625683642069347</c:v>
                </c:pt>
                <c:pt idx="526">
                  <c:v>-8.7730654881577532</c:v>
                </c:pt>
                <c:pt idx="527">
                  <c:v>-8.7835626171894052</c:v>
                </c:pt>
                <c:pt idx="528">
                  <c:v>-8.794059751301706</c:v>
                </c:pt>
                <c:pt idx="529">
                  <c:v>-8.8045568904944727</c:v>
                </c:pt>
                <c:pt idx="530">
                  <c:v>-8.8150540347675186</c:v>
                </c:pt>
                <c:pt idx="531">
                  <c:v>-8.8255511841206609</c:v>
                </c:pt>
                <c:pt idx="532">
                  <c:v>-8.836048338553713</c:v>
                </c:pt>
                <c:pt idx="533">
                  <c:v>-8.8465454980664919</c:v>
                </c:pt>
                <c:pt idx="534">
                  <c:v>-8.8570426626588112</c:v>
                </c:pt>
                <c:pt idx="535">
                  <c:v>-8.8675398323304879</c:v>
                </c:pt>
                <c:pt idx="536">
                  <c:v>-8.8780370070813355</c:v>
                </c:pt>
                <c:pt idx="537">
                  <c:v>-8.8885341869111709</c:v>
                </c:pt>
                <c:pt idx="538">
                  <c:v>-8.8990313718198095</c:v>
                </c:pt>
                <c:pt idx="539">
                  <c:v>-8.9095285618070665</c:v>
                </c:pt>
                <c:pt idx="540">
                  <c:v>-8.9200257568727572</c:v>
                </c:pt>
                <c:pt idx="541">
                  <c:v>-8.9305229570166969</c:v>
                </c:pt>
                <c:pt idx="542">
                  <c:v>-8.9410201622387007</c:v>
                </c:pt>
                <c:pt idx="543">
                  <c:v>-8.9515173725385839</c:v>
                </c:pt>
                <c:pt idx="544">
                  <c:v>-8.9620145879161619</c:v>
                </c:pt>
                <c:pt idx="545">
                  <c:v>-8.9725118083712498</c:v>
                </c:pt>
                <c:pt idx="546">
                  <c:v>-8.9830090339036648</c:v>
                </c:pt>
                <c:pt idx="547">
                  <c:v>-8.9935062645132202</c:v>
                </c:pt>
                <c:pt idx="548">
                  <c:v>-9.0040035001997314</c:v>
                </c:pt>
                <c:pt idx="549">
                  <c:v>-9.0145007409630153</c:v>
                </c:pt>
                <c:pt idx="550">
                  <c:v>-9.0249979868028873</c:v>
                </c:pt>
                <c:pt idx="551">
                  <c:v>-9.0354952377191609</c:v>
                </c:pt>
                <c:pt idx="552">
                  <c:v>-9.0459924937116529</c:v>
                </c:pt>
                <c:pt idx="553">
                  <c:v>-9.0564897547801788</c:v>
                </c:pt>
                <c:pt idx="554">
                  <c:v>-9.0669870209245538</c:v>
                </c:pt>
                <c:pt idx="555">
                  <c:v>-9.0774842921445931</c:v>
                </c:pt>
                <c:pt idx="556">
                  <c:v>-9.087981568440112</c:v>
                </c:pt>
                <c:pt idx="557">
                  <c:v>-9.0984788498109257</c:v>
                </c:pt>
                <c:pt idx="558">
                  <c:v>-9.1089761362568495</c:v>
                </c:pt>
                <c:pt idx="559">
                  <c:v>-9.1194734277777005</c:v>
                </c:pt>
                <c:pt idx="560">
                  <c:v>-9.1299707243732922</c:v>
                </c:pt>
                <c:pt idx="561">
                  <c:v>-9.1404680260434414</c:v>
                </c:pt>
                <c:pt idx="562">
                  <c:v>-9.1509653327879619</c:v>
                </c:pt>
                <c:pt idx="563">
                  <c:v>-9.1614626446066705</c:v>
                </c:pt>
                <c:pt idx="564">
                  <c:v>-9.1719599614993825</c:v>
                </c:pt>
                <c:pt idx="565">
                  <c:v>-9.1824572834659133</c:v>
                </c:pt>
                <c:pt idx="566">
                  <c:v>-9.192954610506078</c:v>
                </c:pt>
                <c:pt idx="567">
                  <c:v>-9.2034519426196919</c:v>
                </c:pt>
                <c:pt idx="568">
                  <c:v>-9.2139492798065703</c:v>
                </c:pt>
                <c:pt idx="569">
                  <c:v>-9.2244466220665302</c:v>
                </c:pt>
                <c:pt idx="570">
                  <c:v>-9.2349439693993851</c:v>
                </c:pt>
                <c:pt idx="571">
                  <c:v>-9.245441321804952</c:v>
                </c:pt>
                <c:pt idx="572">
                  <c:v>-9.2559386792830463</c:v>
                </c:pt>
                <c:pt idx="573">
                  <c:v>-9.2664360418334812</c:v>
                </c:pt>
                <c:pt idx="574">
                  <c:v>-9.276933409456074</c:v>
                </c:pt>
                <c:pt idx="575">
                  <c:v>-9.2874307821506399</c:v>
                </c:pt>
                <c:pt idx="576">
                  <c:v>-9.2979281599169941</c:v>
                </c:pt>
                <c:pt idx="577">
                  <c:v>-9.3084255427549536</c:v>
                </c:pt>
                <c:pt idx="578">
                  <c:v>-9.318922930664332</c:v>
                </c:pt>
                <c:pt idx="579">
                  <c:v>-9.3294203236449462</c:v>
                </c:pt>
                <c:pt idx="580">
                  <c:v>-9.3399177216966098</c:v>
                </c:pt>
                <c:pt idx="581">
                  <c:v>-9.3504151248191398</c:v>
                </c:pt>
                <c:pt idx="582">
                  <c:v>-9.3609125330123515</c:v>
                </c:pt>
                <c:pt idx="583">
                  <c:v>-9.3714099462760601</c:v>
                </c:pt>
                <c:pt idx="584">
                  <c:v>-9.3819073646100808</c:v>
                </c:pt>
                <c:pt idx="585">
                  <c:v>-9.392404788014229</c:v>
                </c:pt>
                <c:pt idx="586">
                  <c:v>-9.4029022164883216</c:v>
                </c:pt>
                <c:pt idx="587">
                  <c:v>-9.4133996500321722</c:v>
                </c:pt>
                <c:pt idx="588">
                  <c:v>-9.4238970886455977</c:v>
                </c:pt>
                <c:pt idx="589">
                  <c:v>-9.4343945323284135</c:v>
                </c:pt>
                <c:pt idx="590">
                  <c:v>-9.4448919810804348</c:v>
                </c:pt>
                <c:pt idx="591">
                  <c:v>-9.4553894349014769</c:v>
                </c:pt>
                <c:pt idx="592">
                  <c:v>-9.465886893791355</c:v>
                </c:pt>
                <c:pt idx="593">
                  <c:v>-9.4763843577498861</c:v>
                </c:pt>
                <c:pt idx="594">
                  <c:v>-9.4868818267768837</c:v>
                </c:pt>
                <c:pt idx="595">
                  <c:v>-9.497379300872165</c:v>
                </c:pt>
                <c:pt idx="596">
                  <c:v>-9.507876780035545</c:v>
                </c:pt>
                <c:pt idx="597">
                  <c:v>-9.5183742642668392</c:v>
                </c:pt>
                <c:pt idx="598">
                  <c:v>-9.5288717535658627</c:v>
                </c:pt>
                <c:pt idx="599">
                  <c:v>-9.5393692479324308</c:v>
                </c:pt>
                <c:pt idx="600">
                  <c:v>-9.5498667473663605</c:v>
                </c:pt>
                <c:pt idx="601">
                  <c:v>-9.5603642518674672</c:v>
                </c:pt>
                <c:pt idx="602">
                  <c:v>-9.5708617614355642</c:v>
                </c:pt>
                <c:pt idx="603">
                  <c:v>-9.5813592760704687</c:v>
                </c:pt>
                <c:pt idx="604">
                  <c:v>-9.5918567957719958</c:v>
                </c:pt>
                <c:pt idx="605">
                  <c:v>-9.6023543205399626</c:v>
                </c:pt>
                <c:pt idx="606">
                  <c:v>-9.6128518503741827</c:v>
                </c:pt>
                <c:pt idx="607">
                  <c:v>-9.6233493852744729</c:v>
                </c:pt>
                <c:pt idx="608">
                  <c:v>-9.6338469252406487</c:v>
                </c:pt>
                <c:pt idx="609">
                  <c:v>-9.6443444702725234</c:v>
                </c:pt>
                <c:pt idx="610">
                  <c:v>-9.6548420203699159</c:v>
                </c:pt>
                <c:pt idx="611">
                  <c:v>-9.6653395755326397</c:v>
                </c:pt>
                <c:pt idx="612">
                  <c:v>-9.67583713576051</c:v>
                </c:pt>
                <c:pt idx="613">
                  <c:v>-9.6863347010533438</c:v>
                </c:pt>
                <c:pt idx="614">
                  <c:v>-9.6968322714109565</c:v>
                </c:pt>
                <c:pt idx="615">
                  <c:v>-9.7073298468331632</c:v>
                </c:pt>
                <c:pt idx="616">
                  <c:v>-9.7178274273197793</c:v>
                </c:pt>
                <c:pt idx="617">
                  <c:v>-9.72832501287062</c:v>
                </c:pt>
                <c:pt idx="618">
                  <c:v>-9.7388226034855023</c:v>
                </c:pt>
                <c:pt idx="619">
                  <c:v>-9.7493201991642415</c:v>
                </c:pt>
                <c:pt idx="620">
                  <c:v>-9.7598177999066529</c:v>
                </c:pt>
                <c:pt idx="621">
                  <c:v>-9.7703154057125516</c:v>
                </c:pt>
                <c:pt idx="622">
                  <c:v>-9.7808130165817531</c:v>
                </c:pt>
                <c:pt idx="623">
                  <c:v>-9.7913106325140742</c:v>
                </c:pt>
                <c:pt idx="624">
                  <c:v>-9.8018082535093285</c:v>
                </c:pt>
                <c:pt idx="625">
                  <c:v>-9.812305879567333</c:v>
                </c:pt>
                <c:pt idx="626">
                  <c:v>-9.822803510687903</c:v>
                </c:pt>
                <c:pt idx="627">
                  <c:v>-9.8333011468708555</c:v>
                </c:pt>
                <c:pt idx="628">
                  <c:v>-9.8437987881160041</c:v>
                </c:pt>
                <c:pt idx="629">
                  <c:v>-9.8542964344231656</c:v>
                </c:pt>
                <c:pt idx="630">
                  <c:v>-9.8647940857921554</c:v>
                </c:pt>
                <c:pt idx="631">
                  <c:v>-9.8752917422227888</c:v>
                </c:pt>
                <c:pt idx="632">
                  <c:v>-9.885789403714881</c:v>
                </c:pt>
                <c:pt idx="633">
                  <c:v>-9.8962870702682491</c:v>
                </c:pt>
                <c:pt idx="634">
                  <c:v>-9.9067847418827082</c:v>
                </c:pt>
                <c:pt idx="635">
                  <c:v>-9.9172824185580737</c:v>
                </c:pt>
                <c:pt idx="636">
                  <c:v>-9.9277801002941608</c:v>
                </c:pt>
                <c:pt idx="637">
                  <c:v>-9.9382777870907848</c:v>
                </c:pt>
                <c:pt idx="638">
                  <c:v>-9.9487754789477627</c:v>
                </c:pt>
                <c:pt idx="639">
                  <c:v>-9.9592731758649098</c:v>
                </c:pt>
                <c:pt idx="640">
                  <c:v>-9.9697708778420413</c:v>
                </c:pt>
                <c:pt idx="641">
                  <c:v>-9.9802685848789725</c:v>
                </c:pt>
                <c:pt idx="642">
                  <c:v>-9.9907662969755187</c:v>
                </c:pt>
                <c:pt idx="643">
                  <c:v>-10.001264014131497</c:v>
                </c:pt>
                <c:pt idx="644">
                  <c:v>-10.011761736346722</c:v>
                </c:pt>
                <c:pt idx="645">
                  <c:v>-10.02225946362101</c:v>
                </c:pt>
                <c:pt idx="646">
                  <c:v>-10.032757195954177</c:v>
                </c:pt>
                <c:pt idx="647">
                  <c:v>-10.043254933346038</c:v>
                </c:pt>
                <c:pt idx="648">
                  <c:v>-10.053752675796408</c:v>
                </c:pt>
                <c:pt idx="649">
                  <c:v>-10.064250423305104</c:v>
                </c:pt>
                <c:pt idx="650">
                  <c:v>-10.074748175871942</c:v>
                </c:pt>
                <c:pt idx="651">
                  <c:v>-10.085245933496736</c:v>
                </c:pt>
                <c:pt idx="652">
                  <c:v>-10.095743696179303</c:v>
                </c:pt>
                <c:pt idx="653">
                  <c:v>-10.106241463919458</c:v>
                </c:pt>
                <c:pt idx="654">
                  <c:v>-10.116739236717017</c:v>
                </c:pt>
                <c:pt idx="655">
                  <c:v>-10.127237014571795</c:v>
                </c:pt>
                <c:pt idx="656">
                  <c:v>-10.13773479748361</c:v>
                </c:pt>
                <c:pt idx="657">
                  <c:v>-10.148232585452275</c:v>
                </c:pt>
                <c:pt idx="658">
                  <c:v>-10.158730378477607</c:v>
                </c:pt>
                <c:pt idx="659">
                  <c:v>-10.169228176559422</c:v>
                </c:pt>
                <c:pt idx="660">
                  <c:v>-10.179725979697533</c:v>
                </c:pt>
                <c:pt idx="661">
                  <c:v>-10.190223787891759</c:v>
                </c:pt>
                <c:pt idx="662">
                  <c:v>-10.200721601141915</c:v>
                </c:pt>
                <c:pt idx="663">
                  <c:v>-10.211219419447815</c:v>
                </c:pt>
                <c:pt idx="664">
                  <c:v>-10.221717242809277</c:v>
                </c:pt>
                <c:pt idx="665">
                  <c:v>-10.232215071226115</c:v>
                </c:pt>
                <c:pt idx="666">
                  <c:v>-10.242712904698147</c:v>
                </c:pt>
                <c:pt idx="667">
                  <c:v>-10.253210743225186</c:v>
                </c:pt>
                <c:pt idx="668">
                  <c:v>-10.263708586807049</c:v>
                </c:pt>
                <c:pt idx="669">
                  <c:v>-10.274206435443551</c:v>
                </c:pt>
                <c:pt idx="670">
                  <c:v>-10.28470428913451</c:v>
                </c:pt>
                <c:pt idx="671">
                  <c:v>-10.295202147879738</c:v>
                </c:pt>
                <c:pt idx="672">
                  <c:v>-10.305700011679054</c:v>
                </c:pt>
                <c:pt idx="673">
                  <c:v>-10.316197880532272</c:v>
                </c:pt>
                <c:pt idx="674">
                  <c:v>-10.326695754439209</c:v>
                </c:pt>
                <c:pt idx="675">
                  <c:v>-10.33719363339968</c:v>
                </c:pt>
                <c:pt idx="676">
                  <c:v>-10.347691517413502</c:v>
                </c:pt>
                <c:pt idx="677">
                  <c:v>-10.358189406480488</c:v>
                </c:pt>
                <c:pt idx="678">
                  <c:v>-10.368687300600456</c:v>
                </c:pt>
                <c:pt idx="679">
                  <c:v>-10.379185199773222</c:v>
                </c:pt>
                <c:pt idx="680">
                  <c:v>-10.3896831039986</c:v>
                </c:pt>
                <c:pt idx="681">
                  <c:v>-10.400181013276406</c:v>
                </c:pt>
                <c:pt idx="682">
                  <c:v>-10.410678927606456</c:v>
                </c:pt>
                <c:pt idx="683">
                  <c:v>-10.421176846988567</c:v>
                </c:pt>
                <c:pt idx="684">
                  <c:v>-10.431674771422554</c:v>
                </c:pt>
                <c:pt idx="685">
                  <c:v>-10.442172700908232</c:v>
                </c:pt>
                <c:pt idx="686">
                  <c:v>-10.452670635445418</c:v>
                </c:pt>
                <c:pt idx="687">
                  <c:v>-10.463168575033928</c:v>
                </c:pt>
                <c:pt idx="688">
                  <c:v>-10.473666519673577</c:v>
                </c:pt>
                <c:pt idx="689">
                  <c:v>-10.484164469364179</c:v>
                </c:pt>
                <c:pt idx="690">
                  <c:v>-10.494662424105554</c:v>
                </c:pt>
                <c:pt idx="691">
                  <c:v>-10.505160383897515</c:v>
                </c:pt>
                <c:pt idx="692">
                  <c:v>-10.515658348739878</c:v>
                </c:pt>
                <c:pt idx="693">
                  <c:v>-10.526156318632459</c:v>
                </c:pt>
                <c:pt idx="694">
                  <c:v>-10.536654293575074</c:v>
                </c:pt>
                <c:pt idx="695">
                  <c:v>-10.547152273567539</c:v>
                </c:pt>
                <c:pt idx="696">
                  <c:v>-10.557650258609669</c:v>
                </c:pt>
                <c:pt idx="697">
                  <c:v>-10.568148248701281</c:v>
                </c:pt>
                <c:pt idx="698">
                  <c:v>-10.578646243842188</c:v>
                </c:pt>
                <c:pt idx="699">
                  <c:v>-10.589144244032209</c:v>
                </c:pt>
                <c:pt idx="700">
                  <c:v>-10.599642249271159</c:v>
                </c:pt>
                <c:pt idx="701">
                  <c:v>-10.610140259558854</c:v>
                </c:pt>
                <c:pt idx="702">
                  <c:v>-10.620638274895109</c:v>
                </c:pt>
                <c:pt idx="703">
                  <c:v>-10.63113629527974</c:v>
                </c:pt>
                <c:pt idx="704">
                  <c:v>-10.641634320712564</c:v>
                </c:pt>
                <c:pt idx="705">
                  <c:v>-10.652132351193394</c:v>
                </c:pt>
                <c:pt idx="706">
                  <c:v>-10.66263038672205</c:v>
                </c:pt>
                <c:pt idx="707">
                  <c:v>-10.673128427298344</c:v>
                </c:pt>
                <c:pt idx="708">
                  <c:v>-10.683626472922095</c:v>
                </c:pt>
                <c:pt idx="709">
                  <c:v>-10.694124523593116</c:v>
                </c:pt>
                <c:pt idx="710">
                  <c:v>-10.704622579311224</c:v>
                </c:pt>
                <c:pt idx="711">
                  <c:v>-10.715120640076234</c:v>
                </c:pt>
                <c:pt idx="712">
                  <c:v>-10.725618705887964</c:v>
                </c:pt>
                <c:pt idx="713">
                  <c:v>-10.736116776746229</c:v>
                </c:pt>
                <c:pt idx="714">
                  <c:v>-10.746614852650845</c:v>
                </c:pt>
                <c:pt idx="715">
                  <c:v>-10.757112933601627</c:v>
                </c:pt>
                <c:pt idx="716">
                  <c:v>-10.767611019598391</c:v>
                </c:pt>
                <c:pt idx="717">
                  <c:v>-10.778109110640953</c:v>
                </c:pt>
                <c:pt idx="718">
                  <c:v>-10.788607206729129</c:v>
                </c:pt>
                <c:pt idx="719">
                  <c:v>-10.799105307862735</c:v>
                </c:pt>
                <c:pt idx="720">
                  <c:v>-10.809603414041588</c:v>
                </c:pt>
                <c:pt idx="721">
                  <c:v>-10.820101525265502</c:v>
                </c:pt>
                <c:pt idx="722">
                  <c:v>-10.830599641534292</c:v>
                </c:pt>
                <c:pt idx="723">
                  <c:v>-10.841097762847776</c:v>
                </c:pt>
                <c:pt idx="724">
                  <c:v>-10.85159588920577</c:v>
                </c:pt>
                <c:pt idx="725">
                  <c:v>-10.862094020608088</c:v>
                </c:pt>
                <c:pt idx="726">
                  <c:v>-10.872592157054548</c:v>
                </c:pt>
                <c:pt idx="727">
                  <c:v>-10.883090298544966</c:v>
                </c:pt>
                <c:pt idx="728">
                  <c:v>-10.893588445079155</c:v>
                </c:pt>
                <c:pt idx="729">
                  <c:v>-10.904086596656933</c:v>
                </c:pt>
                <c:pt idx="730">
                  <c:v>-10.914584753278117</c:v>
                </c:pt>
                <c:pt idx="731">
                  <c:v>-10.925082914942521</c:v>
                </c:pt>
                <c:pt idx="732">
                  <c:v>-10.935581081649962</c:v>
                </c:pt>
                <c:pt idx="733">
                  <c:v>-10.946079253400255</c:v>
                </c:pt>
                <c:pt idx="734">
                  <c:v>-10.956577430193216</c:v>
                </c:pt>
                <c:pt idx="735">
                  <c:v>-10.967075612028662</c:v>
                </c:pt>
                <c:pt idx="736">
                  <c:v>-10.977573798906407</c:v>
                </c:pt>
                <c:pt idx="737">
                  <c:v>-10.988071990826269</c:v>
                </c:pt>
                <c:pt idx="738">
                  <c:v>-10.998570187788063</c:v>
                </c:pt>
                <c:pt idx="739">
                  <c:v>-11.009068389791604</c:v>
                </c:pt>
                <c:pt idx="740">
                  <c:v>-11.019566596836711</c:v>
                </c:pt>
                <c:pt idx="741">
                  <c:v>-11.030064808923196</c:v>
                </c:pt>
                <c:pt idx="742">
                  <c:v>-11.040563026050878</c:v>
                </c:pt>
                <c:pt idx="743">
                  <c:v>-11.05106124821957</c:v>
                </c:pt>
                <c:pt idx="744">
                  <c:v>-11.061559475429091</c:v>
                </c:pt>
                <c:pt idx="745">
                  <c:v>-11.072057707679255</c:v>
                </c:pt>
                <c:pt idx="746">
                  <c:v>-11.082555944969879</c:v>
                </c:pt>
                <c:pt idx="747">
                  <c:v>-11.09305418730078</c:v>
                </c:pt>
                <c:pt idx="748">
                  <c:v>-11.103552434671771</c:v>
                </c:pt>
                <c:pt idx="749">
                  <c:v>-11.114050687082671</c:v>
                </c:pt>
                <c:pt idx="750">
                  <c:v>-11.124548944533293</c:v>
                </c:pt>
                <c:pt idx="751">
                  <c:v>-11.135047207023455</c:v>
                </c:pt>
                <c:pt idx="752">
                  <c:v>-11.145545474552971</c:v>
                </c:pt>
                <c:pt idx="753">
                  <c:v>-11.156043747121659</c:v>
                </c:pt>
                <c:pt idx="754">
                  <c:v>-11.166542024729335</c:v>
                </c:pt>
                <c:pt idx="755">
                  <c:v>-11.177040307375814</c:v>
                </c:pt>
                <c:pt idx="756">
                  <c:v>-11.187538595060911</c:v>
                </c:pt>
                <c:pt idx="757">
                  <c:v>-11.198036887784443</c:v>
                </c:pt>
                <c:pt idx="758">
                  <c:v>-11.208535185546229</c:v>
                </c:pt>
                <c:pt idx="759">
                  <c:v>-11.21903348834608</c:v>
                </c:pt>
                <c:pt idx="760">
                  <c:v>-11.229531796183814</c:v>
                </c:pt>
                <c:pt idx="761">
                  <c:v>-11.240030109059248</c:v>
                </c:pt>
                <c:pt idx="762">
                  <c:v>-11.250528426972197</c:v>
                </c:pt>
                <c:pt idx="763">
                  <c:v>-11.261026749922477</c:v>
                </c:pt>
                <c:pt idx="764">
                  <c:v>-11.271525077909905</c:v>
                </c:pt>
                <c:pt idx="765">
                  <c:v>-11.282023410934295</c:v>
                </c:pt>
                <c:pt idx="766">
                  <c:v>-11.292521748995465</c:v>
                </c:pt>
                <c:pt idx="767">
                  <c:v>-11.303020092093231</c:v>
                </c:pt>
                <c:pt idx="768">
                  <c:v>-11.313518440227407</c:v>
                </c:pt>
                <c:pt idx="769">
                  <c:v>-11.32401679339781</c:v>
                </c:pt>
                <c:pt idx="770">
                  <c:v>-11.334515151604258</c:v>
                </c:pt>
                <c:pt idx="771">
                  <c:v>-11.345013514846563</c:v>
                </c:pt>
                <c:pt idx="772">
                  <c:v>-11.355511883124546</c:v>
                </c:pt>
                <c:pt idx="773">
                  <c:v>-11.366010256438019</c:v>
                </c:pt>
                <c:pt idx="774">
                  <c:v>-11.376508634786799</c:v>
                </c:pt>
                <c:pt idx="775">
                  <c:v>-11.387007018170703</c:v>
                </c:pt>
                <c:pt idx="776">
                  <c:v>-11.397505406589547</c:v>
                </c:pt>
                <c:pt idx="777">
                  <c:v>-11.408003800043145</c:v>
                </c:pt>
                <c:pt idx="778">
                  <c:v>-11.418502198531316</c:v>
                </c:pt>
                <c:pt idx="779">
                  <c:v>-11.429000602053874</c:v>
                </c:pt>
                <c:pt idx="780">
                  <c:v>-11.439499010610636</c:v>
                </c:pt>
                <c:pt idx="781">
                  <c:v>-11.449997424201417</c:v>
                </c:pt>
                <c:pt idx="782">
                  <c:v>-11.460495842826035</c:v>
                </c:pt>
                <c:pt idx="783">
                  <c:v>-11.470994266484304</c:v>
                </c:pt>
                <c:pt idx="784">
                  <c:v>-11.481492695176041</c:v>
                </c:pt>
                <c:pt idx="785">
                  <c:v>-11.491991128901061</c:v>
                </c:pt>
                <c:pt idx="786">
                  <c:v>-11.502489567659181</c:v>
                </c:pt>
                <c:pt idx="787">
                  <c:v>-11.512988011450217</c:v>
                </c:pt>
                <c:pt idx="788">
                  <c:v>-11.523486460273986</c:v>
                </c:pt>
                <c:pt idx="789">
                  <c:v>-11.533984914130302</c:v>
                </c:pt>
                <c:pt idx="790">
                  <c:v>-11.544483373018984</c:v>
                </c:pt>
                <c:pt idx="791">
                  <c:v>-11.554981836939845</c:v>
                </c:pt>
                <c:pt idx="792">
                  <c:v>-11.565480305892702</c:v>
                </c:pt>
                <c:pt idx="793">
                  <c:v>-11.575978779877373</c:v>
                </c:pt>
                <c:pt idx="794">
                  <c:v>-11.586477258893671</c:v>
                </c:pt>
                <c:pt idx="795">
                  <c:v>-11.596975742941416</c:v>
                </c:pt>
                <c:pt idx="796">
                  <c:v>-11.607474232020421</c:v>
                </c:pt>
                <c:pt idx="797">
                  <c:v>-11.617972726130501</c:v>
                </c:pt>
                <c:pt idx="798">
                  <c:v>-11.628471225271475</c:v>
                </c:pt>
                <c:pt idx="799">
                  <c:v>-11.63896972944316</c:v>
                </c:pt>
                <c:pt idx="800">
                  <c:v>-11.649468238645369</c:v>
                </c:pt>
                <c:pt idx="801">
                  <c:v>-11.659966752877919</c:v>
                </c:pt>
                <c:pt idx="802">
                  <c:v>-11.670465272140627</c:v>
                </c:pt>
                <c:pt idx="803">
                  <c:v>-11.680963796433307</c:v>
                </c:pt>
                <c:pt idx="804">
                  <c:v>-11.691462325755777</c:v>
                </c:pt>
                <c:pt idx="805">
                  <c:v>-11.701960860107853</c:v>
                </c:pt>
                <c:pt idx="806">
                  <c:v>-11.712459399489351</c:v>
                </c:pt>
                <c:pt idx="807">
                  <c:v>-11.722957943900086</c:v>
                </c:pt>
                <c:pt idx="808">
                  <c:v>-11.733456493339876</c:v>
                </c:pt>
                <c:pt idx="809">
                  <c:v>-11.743955047808537</c:v>
                </c:pt>
                <c:pt idx="810">
                  <c:v>-11.754453607305884</c:v>
                </c:pt>
                <c:pt idx="811">
                  <c:v>-11.764952171831734</c:v>
                </c:pt>
                <c:pt idx="812">
                  <c:v>-11.775450741385901</c:v>
                </c:pt>
                <c:pt idx="813">
                  <c:v>-11.785949315968205</c:v>
                </c:pt>
                <c:pt idx="814">
                  <c:v>-11.796447895578458</c:v>
                </c:pt>
                <c:pt idx="815">
                  <c:v>-11.80694648021648</c:v>
                </c:pt>
                <c:pt idx="816">
                  <c:v>-11.817445069882083</c:v>
                </c:pt>
                <c:pt idx="817">
                  <c:v>-11.827943664575088</c:v>
                </c:pt>
                <c:pt idx="818">
                  <c:v>-11.838442264295306</c:v>
                </c:pt>
                <c:pt idx="819">
                  <c:v>-11.848940869042558</c:v>
                </c:pt>
                <c:pt idx="820">
                  <c:v>-11.859439478816656</c:v>
                </c:pt>
                <c:pt idx="821">
                  <c:v>-11.869938093617419</c:v>
                </c:pt>
                <c:pt idx="822">
                  <c:v>-11.880436713444661</c:v>
                </c:pt>
                <c:pt idx="823">
                  <c:v>-11.890935338298201</c:v>
                </c:pt>
                <c:pt idx="824">
                  <c:v>-11.901433968177853</c:v>
                </c:pt>
                <c:pt idx="825">
                  <c:v>-11.911932603083434</c:v>
                </c:pt>
                <c:pt idx="826">
                  <c:v>-11.92243124301476</c:v>
                </c:pt>
                <c:pt idx="827">
                  <c:v>-11.932929887971646</c:v>
                </c:pt>
                <c:pt idx="828">
                  <c:v>-11.94342853795391</c:v>
                </c:pt>
                <c:pt idx="829">
                  <c:v>-11.953927192961368</c:v>
                </c:pt>
                <c:pt idx="830">
                  <c:v>-11.964425852993834</c:v>
                </c:pt>
                <c:pt idx="831">
                  <c:v>-11.974924518051127</c:v>
                </c:pt>
                <c:pt idx="832">
                  <c:v>-11.985423188133062</c:v>
                </c:pt>
                <c:pt idx="833">
                  <c:v>-11.995921863239454</c:v>
                </c:pt>
                <c:pt idx="834">
                  <c:v>-12.006420543370123</c:v>
                </c:pt>
                <c:pt idx="835">
                  <c:v>-12.01691922852488</c:v>
                </c:pt>
                <c:pt idx="836">
                  <c:v>-12.027417918703545</c:v>
                </c:pt>
                <c:pt idx="837">
                  <c:v>-12.037916613905933</c:v>
                </c:pt>
                <c:pt idx="838">
                  <c:v>-12.04841531413186</c:v>
                </c:pt>
                <c:pt idx="839">
                  <c:v>-12.058914019381143</c:v>
                </c:pt>
                <c:pt idx="840">
                  <c:v>-12.069412729653598</c:v>
                </c:pt>
                <c:pt idx="841">
                  <c:v>-12.07991144494904</c:v>
                </c:pt>
                <c:pt idx="842">
                  <c:v>-12.090410165267286</c:v>
                </c:pt>
                <c:pt idx="843">
                  <c:v>-12.100908890608153</c:v>
                </c:pt>
                <c:pt idx="844">
                  <c:v>-12.111407620971457</c:v>
                </c:pt>
                <c:pt idx="845">
                  <c:v>-12.121906356357014</c:v>
                </c:pt>
                <c:pt idx="846">
                  <c:v>-12.132405096764639</c:v>
                </c:pt>
                <c:pt idx="847">
                  <c:v>-12.14290384219415</c:v>
                </c:pt>
                <c:pt idx="848">
                  <c:v>-12.153402592645362</c:v>
                </c:pt>
                <c:pt idx="849">
                  <c:v>-12.163901348118092</c:v>
                </c:pt>
                <c:pt idx="850">
                  <c:v>-12.174400108612156</c:v>
                </c:pt>
                <c:pt idx="851">
                  <c:v>-12.18489887412737</c:v>
                </c:pt>
                <c:pt idx="852">
                  <c:v>-12.195397644663551</c:v>
                </c:pt>
                <c:pt idx="853">
                  <c:v>-12.205896420220515</c:v>
                </c:pt>
                <c:pt idx="854">
                  <c:v>-12.216395200798079</c:v>
                </c:pt>
                <c:pt idx="855">
                  <c:v>-12.226893986396057</c:v>
                </c:pt>
                <c:pt idx="856">
                  <c:v>-12.237392777014266</c:v>
                </c:pt>
                <c:pt idx="857">
                  <c:v>-12.247891572652524</c:v>
                </c:pt>
                <c:pt idx="858">
                  <c:v>-12.258390373310645</c:v>
                </c:pt>
                <c:pt idx="859">
                  <c:v>-12.268889178988447</c:v>
                </c:pt>
                <c:pt idx="860">
                  <c:v>-12.279387989685745</c:v>
                </c:pt>
                <c:pt idx="861">
                  <c:v>-12.289886805402356</c:v>
                </c:pt>
                <c:pt idx="862">
                  <c:v>-12.300385626138096</c:v>
                </c:pt>
                <c:pt idx="863">
                  <c:v>-12.310884451892782</c:v>
                </c:pt>
                <c:pt idx="864">
                  <c:v>-12.321383282666231</c:v>
                </c:pt>
                <c:pt idx="865">
                  <c:v>-12.331882118458257</c:v>
                </c:pt>
                <c:pt idx="866">
                  <c:v>-12.342380959268677</c:v>
                </c:pt>
                <c:pt idx="867">
                  <c:v>-12.352879805097308</c:v>
                </c:pt>
                <c:pt idx="868">
                  <c:v>-12.363378655943965</c:v>
                </c:pt>
                <c:pt idx="869">
                  <c:v>-12.373877511808466</c:v>
                </c:pt>
                <c:pt idx="870">
                  <c:v>-12.384376372690626</c:v>
                </c:pt>
                <c:pt idx="871">
                  <c:v>-12.394875238590263</c:v>
                </c:pt>
                <c:pt idx="872">
                  <c:v>-12.405374109507193</c:v>
                </c:pt>
                <c:pt idx="873">
                  <c:v>-12.415872985441231</c:v>
                </c:pt>
                <c:pt idx="874">
                  <c:v>-12.426371866392193</c:v>
                </c:pt>
                <c:pt idx="875">
                  <c:v>-12.436870752359896</c:v>
                </c:pt>
                <c:pt idx="876">
                  <c:v>-12.447369643344157</c:v>
                </c:pt>
                <c:pt idx="877">
                  <c:v>-12.457868539344791</c:v>
                </c:pt>
                <c:pt idx="878">
                  <c:v>-12.468367440361614</c:v>
                </c:pt>
                <c:pt idx="879">
                  <c:v>-12.478866346394446</c:v>
                </c:pt>
                <c:pt idx="880">
                  <c:v>-12.489365257443099</c:v>
                </c:pt>
                <c:pt idx="881">
                  <c:v>-12.499864173507392</c:v>
                </c:pt>
                <c:pt idx="882">
                  <c:v>-12.51036309458714</c:v>
                </c:pt>
                <c:pt idx="883">
                  <c:v>-12.520862020682159</c:v>
                </c:pt>
                <c:pt idx="884">
                  <c:v>-12.531360951792267</c:v>
                </c:pt>
                <c:pt idx="885">
                  <c:v>-12.54185988791728</c:v>
                </c:pt>
                <c:pt idx="886">
                  <c:v>-12.552358829057013</c:v>
                </c:pt>
                <c:pt idx="887">
                  <c:v>-12.562857775211285</c:v>
                </c:pt>
                <c:pt idx="888">
                  <c:v>-12.57335672637991</c:v>
                </c:pt>
                <c:pt idx="889">
                  <c:v>-12.583855682562703</c:v>
                </c:pt>
                <c:pt idx="890">
                  <c:v>-12.594354643759484</c:v>
                </c:pt>
                <c:pt idx="891">
                  <c:v>-12.604853609970068</c:v>
                </c:pt>
                <c:pt idx="892">
                  <c:v>-12.615352581194269</c:v>
                </c:pt>
                <c:pt idx="893">
                  <c:v>-12.625851557431906</c:v>
                </c:pt>
                <c:pt idx="894">
                  <c:v>-12.636350538682795</c:v>
                </c:pt>
                <c:pt idx="895">
                  <c:v>-12.646849524946751</c:v>
                </c:pt>
                <c:pt idx="896">
                  <c:v>-12.657348516223593</c:v>
                </c:pt>
                <c:pt idx="897">
                  <c:v>-12.667847512513134</c:v>
                </c:pt>
                <c:pt idx="898">
                  <c:v>-12.678346513815194</c:v>
                </c:pt>
                <c:pt idx="899">
                  <c:v>-12.688845520129588</c:v>
                </c:pt>
                <c:pt idx="900">
                  <c:v>-12.699344531456131</c:v>
                </c:pt>
                <c:pt idx="901">
                  <c:v>-12.709843547794639</c:v>
                </c:pt>
                <c:pt idx="902">
                  <c:v>-12.720342569144931</c:v>
                </c:pt>
                <c:pt idx="903">
                  <c:v>-12.730841595506822</c:v>
                </c:pt>
                <c:pt idx="904">
                  <c:v>-12.741340626880129</c:v>
                </c:pt>
                <c:pt idx="905">
                  <c:v>-12.751839663264668</c:v>
                </c:pt>
                <c:pt idx="906">
                  <c:v>-12.762338704660255</c:v>
                </c:pt>
                <c:pt idx="907">
                  <c:v>-12.772837751066707</c:v>
                </c:pt>
                <c:pt idx="908">
                  <c:v>-12.78333680248384</c:v>
                </c:pt>
                <c:pt idx="909">
                  <c:v>-12.79383585891147</c:v>
                </c:pt>
                <c:pt idx="910">
                  <c:v>-12.804334920349413</c:v>
                </c:pt>
                <c:pt idx="911">
                  <c:v>-12.814833986797488</c:v>
                </c:pt>
                <c:pt idx="912">
                  <c:v>-12.825333058255509</c:v>
                </c:pt>
                <c:pt idx="913">
                  <c:v>-12.835832134723294</c:v>
                </c:pt>
                <c:pt idx="914">
                  <c:v>-12.846331216200658</c:v>
                </c:pt>
                <c:pt idx="915">
                  <c:v>-12.856830302687419</c:v>
                </c:pt>
                <c:pt idx="916">
                  <c:v>-12.867329394183391</c:v>
                </c:pt>
                <c:pt idx="917">
                  <c:v>-12.877828490688394</c:v>
                </c:pt>
                <c:pt idx="918">
                  <c:v>-12.888327592202241</c:v>
                </c:pt>
                <c:pt idx="919">
                  <c:v>-12.898826698724751</c:v>
                </c:pt>
                <c:pt idx="920">
                  <c:v>-12.909325810255739</c:v>
                </c:pt>
                <c:pt idx="921">
                  <c:v>-12.919824926795021</c:v>
                </c:pt>
                <c:pt idx="922">
                  <c:v>-12.930324048342415</c:v>
                </c:pt>
                <c:pt idx="923">
                  <c:v>-12.940823174897737</c:v>
                </c:pt>
                <c:pt idx="924">
                  <c:v>-12.951322306460803</c:v>
                </c:pt>
                <c:pt idx="925">
                  <c:v>-12.961821443031429</c:v>
                </c:pt>
                <c:pt idx="926">
                  <c:v>-12.972320584609433</c:v>
                </c:pt>
                <c:pt idx="927">
                  <c:v>-12.982819731194629</c:v>
                </c:pt>
                <c:pt idx="928">
                  <c:v>-12.993318882786836</c:v>
                </c:pt>
                <c:pt idx="929">
                  <c:v>-13.00381803938587</c:v>
                </c:pt>
                <c:pt idx="930">
                  <c:v>-13.014317200991545</c:v>
                </c:pt>
                <c:pt idx="931">
                  <c:v>-13.024816367603682</c:v>
                </c:pt>
                <c:pt idx="932">
                  <c:v>-13.035315539222093</c:v>
                </c:pt>
                <c:pt idx="933">
                  <c:v>-13.045814715846598</c:v>
                </c:pt>
                <c:pt idx="934">
                  <c:v>-13.056313897477011</c:v>
                </c:pt>
                <c:pt idx="935">
                  <c:v>-13.06681308411315</c:v>
                </c:pt>
                <c:pt idx="936">
                  <c:v>-13.07731227575483</c:v>
                </c:pt>
                <c:pt idx="937">
                  <c:v>-13.087811472401869</c:v>
                </c:pt>
                <c:pt idx="938">
                  <c:v>-13.098310674054082</c:v>
                </c:pt>
                <c:pt idx="939">
                  <c:v>-13.108809880711286</c:v>
                </c:pt>
                <c:pt idx="940">
                  <c:v>-13.119309092373298</c:v>
                </c:pt>
                <c:pt idx="941">
                  <c:v>-13.129808309039934</c:v>
                </c:pt>
                <c:pt idx="942">
                  <c:v>-13.140307530711011</c:v>
                </c:pt>
                <c:pt idx="943">
                  <c:v>-13.150806757386347</c:v>
                </c:pt>
                <c:pt idx="944">
                  <c:v>-13.161305989065756</c:v>
                </c:pt>
                <c:pt idx="945">
                  <c:v>-13.171805225749056</c:v>
                </c:pt>
                <c:pt idx="946">
                  <c:v>-13.182304467436062</c:v>
                </c:pt>
                <c:pt idx="947">
                  <c:v>-13.19280371412659</c:v>
                </c:pt>
                <c:pt idx="948">
                  <c:v>-13.203302965820459</c:v>
                </c:pt>
                <c:pt idx="949">
                  <c:v>-13.213802222517485</c:v>
                </c:pt>
                <c:pt idx="950">
                  <c:v>-13.224301484217484</c:v>
                </c:pt>
                <c:pt idx="951">
                  <c:v>-13.234800750920273</c:v>
                </c:pt>
                <c:pt idx="952">
                  <c:v>-13.245300022625669</c:v>
                </c:pt>
                <c:pt idx="953">
                  <c:v>-13.255799299333486</c:v>
                </c:pt>
                <c:pt idx="954">
                  <c:v>-13.266298581043541</c:v>
                </c:pt>
                <c:pt idx="955">
                  <c:v>-13.276797867755652</c:v>
                </c:pt>
                <c:pt idx="956">
                  <c:v>-13.287297159469636</c:v>
                </c:pt>
                <c:pt idx="957">
                  <c:v>-13.29779645618531</c:v>
                </c:pt>
                <c:pt idx="958">
                  <c:v>-13.308295757902489</c:v>
                </c:pt>
                <c:pt idx="959">
                  <c:v>-13.318795064620989</c:v>
                </c:pt>
                <c:pt idx="960">
                  <c:v>-13.329294376340627</c:v>
                </c:pt>
                <c:pt idx="961">
                  <c:v>-13.339793693061221</c:v>
                </c:pt>
                <c:pt idx="962">
                  <c:v>-13.350293014782586</c:v>
                </c:pt>
                <c:pt idx="963">
                  <c:v>-13.36079234150454</c:v>
                </c:pt>
                <c:pt idx="964">
                  <c:v>-13.371291673226898</c:v>
                </c:pt>
                <c:pt idx="965">
                  <c:v>-13.381791009949477</c:v>
                </c:pt>
                <c:pt idx="966">
                  <c:v>-13.392290351672095</c:v>
                </c:pt>
                <c:pt idx="967">
                  <c:v>-13.402789698394567</c:v>
                </c:pt>
                <c:pt idx="968">
                  <c:v>-13.41328905011671</c:v>
                </c:pt>
                <c:pt idx="969">
                  <c:v>-13.423788406838339</c:v>
                </c:pt>
                <c:pt idx="970">
                  <c:v>-13.434287768559273</c:v>
                </c:pt>
                <c:pt idx="971">
                  <c:v>-13.444787135279327</c:v>
                </c:pt>
                <c:pt idx="972">
                  <c:v>-13.45528650699832</c:v>
                </c:pt>
                <c:pt idx="973">
                  <c:v>-13.465785883716066</c:v>
                </c:pt>
                <c:pt idx="974">
                  <c:v>-13.476285265432383</c:v>
                </c:pt>
                <c:pt idx="975">
                  <c:v>-13.486784652147087</c:v>
                </c:pt>
                <c:pt idx="976">
                  <c:v>-13.497284043859995</c:v>
                </c:pt>
                <c:pt idx="977">
                  <c:v>-13.507783440570924</c:v>
                </c:pt>
                <c:pt idx="978">
                  <c:v>-13.518282842279689</c:v>
                </c:pt>
                <c:pt idx="979">
                  <c:v>-13.528782248986108</c:v>
                </c:pt>
                <c:pt idx="980">
                  <c:v>-13.539281660689996</c:v>
                </c:pt>
                <c:pt idx="981">
                  <c:v>-13.549781077391172</c:v>
                </c:pt>
                <c:pt idx="982">
                  <c:v>-13.560280499089451</c:v>
                </c:pt>
                <c:pt idx="983">
                  <c:v>-13.570779925784651</c:v>
                </c:pt>
                <c:pt idx="984">
                  <c:v>-13.581279357476587</c:v>
                </c:pt>
                <c:pt idx="985">
                  <c:v>-13.591778794165077</c:v>
                </c:pt>
                <c:pt idx="986">
                  <c:v>-13.602278235849935</c:v>
                </c:pt>
                <c:pt idx="987">
                  <c:v>-13.612777682530981</c:v>
                </c:pt>
                <c:pt idx="988">
                  <c:v>-13.623277134208029</c:v>
                </c:pt>
                <c:pt idx="989">
                  <c:v>-13.633776590880899</c:v>
                </c:pt>
                <c:pt idx="990">
                  <c:v>-13.644276052549404</c:v>
                </c:pt>
                <c:pt idx="991">
                  <c:v>-13.654775519213363</c:v>
                </c:pt>
                <c:pt idx="992">
                  <c:v>-13.665274990872591</c:v>
                </c:pt>
                <c:pt idx="993">
                  <c:v>-13.675774467526907</c:v>
                </c:pt>
                <c:pt idx="994">
                  <c:v>-13.686273949176124</c:v>
                </c:pt>
                <c:pt idx="995">
                  <c:v>-13.696773435820061</c:v>
                </c:pt>
                <c:pt idx="996">
                  <c:v>-13.707272927458535</c:v>
                </c:pt>
                <c:pt idx="997">
                  <c:v>-13.717772424091361</c:v>
                </c:pt>
                <c:pt idx="998">
                  <c:v>-13.728271925718358</c:v>
                </c:pt>
                <c:pt idx="999">
                  <c:v>-13.738771432339341</c:v>
                </c:pt>
                <c:pt idx="1000">
                  <c:v>-13.749270943954127</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35.100000000000186</c:v>
                </c:pt>
                <c:pt idx="500">
                  <c:v>35.200000000000188</c:v>
                </c:pt>
                <c:pt idx="501">
                  <c:v>35.300000000000189</c:v>
                </c:pt>
                <c:pt idx="502">
                  <c:v>35.40000000000019</c:v>
                </c:pt>
                <c:pt idx="503">
                  <c:v>35.500000000000192</c:v>
                </c:pt>
                <c:pt idx="504">
                  <c:v>35.600000000000193</c:v>
                </c:pt>
                <c:pt idx="505">
                  <c:v>35.700000000000195</c:v>
                </c:pt>
                <c:pt idx="506">
                  <c:v>35.800000000000196</c:v>
                </c:pt>
                <c:pt idx="507">
                  <c:v>35.900000000000198</c:v>
                </c:pt>
                <c:pt idx="508">
                  <c:v>36.000000000000199</c:v>
                </c:pt>
                <c:pt idx="509">
                  <c:v>36.1000000000002</c:v>
                </c:pt>
                <c:pt idx="510">
                  <c:v>36.200000000000202</c:v>
                </c:pt>
                <c:pt idx="511">
                  <c:v>36.300000000000203</c:v>
                </c:pt>
                <c:pt idx="512">
                  <c:v>36.400000000000205</c:v>
                </c:pt>
                <c:pt idx="513">
                  <c:v>36.500000000000206</c:v>
                </c:pt>
                <c:pt idx="514">
                  <c:v>36.600000000000207</c:v>
                </c:pt>
                <c:pt idx="515">
                  <c:v>36.700000000000209</c:v>
                </c:pt>
                <c:pt idx="516">
                  <c:v>36.80000000000021</c:v>
                </c:pt>
                <c:pt idx="517">
                  <c:v>36.800100000000214</c:v>
                </c:pt>
                <c:pt idx="518">
                  <c:v>36.800200000000217</c:v>
                </c:pt>
                <c:pt idx="519">
                  <c:v>36.80030000000022</c:v>
                </c:pt>
                <c:pt idx="520">
                  <c:v>36.800400000000224</c:v>
                </c:pt>
                <c:pt idx="521">
                  <c:v>36.800500000000227</c:v>
                </c:pt>
                <c:pt idx="522">
                  <c:v>36.80060000000023</c:v>
                </c:pt>
                <c:pt idx="523">
                  <c:v>36.800700000000234</c:v>
                </c:pt>
                <c:pt idx="524">
                  <c:v>36.800800000000237</c:v>
                </c:pt>
                <c:pt idx="525">
                  <c:v>36.80090000000024</c:v>
                </c:pt>
                <c:pt idx="526">
                  <c:v>36.801000000000244</c:v>
                </c:pt>
                <c:pt idx="527">
                  <c:v>36.801100000000247</c:v>
                </c:pt>
                <c:pt idx="528">
                  <c:v>36.80120000000025</c:v>
                </c:pt>
                <c:pt idx="529">
                  <c:v>36.801300000000253</c:v>
                </c:pt>
                <c:pt idx="530">
                  <c:v>36.801400000000257</c:v>
                </c:pt>
                <c:pt idx="531">
                  <c:v>36.80150000000026</c:v>
                </c:pt>
                <c:pt idx="532">
                  <c:v>36.801600000000263</c:v>
                </c:pt>
                <c:pt idx="533">
                  <c:v>36.801700000000267</c:v>
                </c:pt>
                <c:pt idx="534">
                  <c:v>36.80180000000027</c:v>
                </c:pt>
                <c:pt idx="535">
                  <c:v>36.801900000000273</c:v>
                </c:pt>
                <c:pt idx="536">
                  <c:v>36.802000000000277</c:v>
                </c:pt>
                <c:pt idx="537">
                  <c:v>36.80210000000028</c:v>
                </c:pt>
                <c:pt idx="538">
                  <c:v>36.802200000000283</c:v>
                </c:pt>
                <c:pt idx="539">
                  <c:v>36.802300000000287</c:v>
                </c:pt>
                <c:pt idx="540">
                  <c:v>36.80240000000029</c:v>
                </c:pt>
                <c:pt idx="541">
                  <c:v>36.802500000000293</c:v>
                </c:pt>
                <c:pt idx="542">
                  <c:v>36.802600000000297</c:v>
                </c:pt>
                <c:pt idx="543">
                  <c:v>36.8027000000003</c:v>
                </c:pt>
                <c:pt idx="544">
                  <c:v>36.802800000000303</c:v>
                </c:pt>
                <c:pt idx="545">
                  <c:v>36.802900000000307</c:v>
                </c:pt>
                <c:pt idx="546">
                  <c:v>36.80300000000031</c:v>
                </c:pt>
                <c:pt idx="547">
                  <c:v>36.803100000000313</c:v>
                </c:pt>
                <c:pt idx="548">
                  <c:v>36.803200000000317</c:v>
                </c:pt>
                <c:pt idx="549">
                  <c:v>36.80330000000032</c:v>
                </c:pt>
                <c:pt idx="550">
                  <c:v>36.803400000000323</c:v>
                </c:pt>
                <c:pt idx="551">
                  <c:v>36.803500000000327</c:v>
                </c:pt>
                <c:pt idx="552">
                  <c:v>36.80360000000033</c:v>
                </c:pt>
                <c:pt idx="553">
                  <c:v>36.803700000000333</c:v>
                </c:pt>
                <c:pt idx="554">
                  <c:v>36.803800000000336</c:v>
                </c:pt>
                <c:pt idx="555">
                  <c:v>36.80390000000034</c:v>
                </c:pt>
                <c:pt idx="556">
                  <c:v>36.804000000000343</c:v>
                </c:pt>
                <c:pt idx="557">
                  <c:v>36.804100000000346</c:v>
                </c:pt>
                <c:pt idx="558">
                  <c:v>36.80420000000035</c:v>
                </c:pt>
                <c:pt idx="559">
                  <c:v>36.804300000000353</c:v>
                </c:pt>
                <c:pt idx="560">
                  <c:v>36.804400000000356</c:v>
                </c:pt>
                <c:pt idx="561">
                  <c:v>36.80450000000036</c:v>
                </c:pt>
                <c:pt idx="562">
                  <c:v>36.804600000000363</c:v>
                </c:pt>
                <c:pt idx="563">
                  <c:v>36.804700000000366</c:v>
                </c:pt>
                <c:pt idx="564">
                  <c:v>36.80480000000037</c:v>
                </c:pt>
                <c:pt idx="565">
                  <c:v>36.804900000000373</c:v>
                </c:pt>
                <c:pt idx="566">
                  <c:v>36.805000000000376</c:v>
                </c:pt>
                <c:pt idx="567">
                  <c:v>36.80510000000038</c:v>
                </c:pt>
                <c:pt idx="568">
                  <c:v>36.805200000000383</c:v>
                </c:pt>
                <c:pt idx="569">
                  <c:v>36.805300000000386</c:v>
                </c:pt>
                <c:pt idx="570">
                  <c:v>36.80540000000039</c:v>
                </c:pt>
                <c:pt idx="571">
                  <c:v>36.805500000000393</c:v>
                </c:pt>
                <c:pt idx="572">
                  <c:v>36.805600000000396</c:v>
                </c:pt>
                <c:pt idx="573">
                  <c:v>36.8057000000004</c:v>
                </c:pt>
                <c:pt idx="574">
                  <c:v>36.805800000000403</c:v>
                </c:pt>
                <c:pt idx="575">
                  <c:v>36.805900000000406</c:v>
                </c:pt>
                <c:pt idx="576">
                  <c:v>36.806000000000409</c:v>
                </c:pt>
                <c:pt idx="577">
                  <c:v>36.806100000000413</c:v>
                </c:pt>
                <c:pt idx="578">
                  <c:v>36.806200000000416</c:v>
                </c:pt>
                <c:pt idx="579">
                  <c:v>36.806300000000419</c:v>
                </c:pt>
                <c:pt idx="580">
                  <c:v>36.806400000000423</c:v>
                </c:pt>
                <c:pt idx="581">
                  <c:v>36.806500000000426</c:v>
                </c:pt>
                <c:pt idx="582">
                  <c:v>36.806600000000429</c:v>
                </c:pt>
                <c:pt idx="583">
                  <c:v>36.806700000000433</c:v>
                </c:pt>
                <c:pt idx="584">
                  <c:v>36.806800000000436</c:v>
                </c:pt>
                <c:pt idx="585">
                  <c:v>36.806900000000439</c:v>
                </c:pt>
                <c:pt idx="586">
                  <c:v>36.807000000000443</c:v>
                </c:pt>
                <c:pt idx="587">
                  <c:v>36.807100000000446</c:v>
                </c:pt>
                <c:pt idx="588">
                  <c:v>36.807200000000449</c:v>
                </c:pt>
                <c:pt idx="589">
                  <c:v>36.807300000000453</c:v>
                </c:pt>
                <c:pt idx="590">
                  <c:v>36.807400000000456</c:v>
                </c:pt>
                <c:pt idx="591">
                  <c:v>36.807500000000459</c:v>
                </c:pt>
                <c:pt idx="592">
                  <c:v>36.807600000000463</c:v>
                </c:pt>
                <c:pt idx="593">
                  <c:v>36.807700000000466</c:v>
                </c:pt>
                <c:pt idx="594">
                  <c:v>36.807800000000469</c:v>
                </c:pt>
                <c:pt idx="595">
                  <c:v>36.807900000000473</c:v>
                </c:pt>
                <c:pt idx="596">
                  <c:v>36.808000000000476</c:v>
                </c:pt>
                <c:pt idx="597">
                  <c:v>36.808100000000479</c:v>
                </c:pt>
                <c:pt idx="598">
                  <c:v>36.808200000000483</c:v>
                </c:pt>
                <c:pt idx="599">
                  <c:v>36.808300000000486</c:v>
                </c:pt>
                <c:pt idx="600">
                  <c:v>36.808400000000489</c:v>
                </c:pt>
                <c:pt idx="601">
                  <c:v>36.808500000000492</c:v>
                </c:pt>
                <c:pt idx="602">
                  <c:v>36.808600000000496</c:v>
                </c:pt>
                <c:pt idx="603">
                  <c:v>36.808700000000499</c:v>
                </c:pt>
                <c:pt idx="604">
                  <c:v>36.808800000000502</c:v>
                </c:pt>
                <c:pt idx="605">
                  <c:v>36.808900000000506</c:v>
                </c:pt>
                <c:pt idx="606">
                  <c:v>36.809000000000509</c:v>
                </c:pt>
                <c:pt idx="607">
                  <c:v>36.809100000000512</c:v>
                </c:pt>
                <c:pt idx="608">
                  <c:v>36.809200000000516</c:v>
                </c:pt>
                <c:pt idx="609">
                  <c:v>36.809300000000519</c:v>
                </c:pt>
                <c:pt idx="610">
                  <c:v>36.809400000000522</c:v>
                </c:pt>
                <c:pt idx="611">
                  <c:v>36.809500000000526</c:v>
                </c:pt>
                <c:pt idx="612">
                  <c:v>36.809600000000529</c:v>
                </c:pt>
                <c:pt idx="613">
                  <c:v>36.809700000000532</c:v>
                </c:pt>
                <c:pt idx="614">
                  <c:v>36.809800000000536</c:v>
                </c:pt>
                <c:pt idx="615">
                  <c:v>36.809900000000539</c:v>
                </c:pt>
                <c:pt idx="616">
                  <c:v>36.810000000000542</c:v>
                </c:pt>
                <c:pt idx="617">
                  <c:v>36.810100000000546</c:v>
                </c:pt>
                <c:pt idx="618">
                  <c:v>36.810200000000549</c:v>
                </c:pt>
                <c:pt idx="619">
                  <c:v>36.810300000000552</c:v>
                </c:pt>
                <c:pt idx="620">
                  <c:v>36.810400000000556</c:v>
                </c:pt>
                <c:pt idx="621">
                  <c:v>36.810500000000559</c:v>
                </c:pt>
                <c:pt idx="622">
                  <c:v>36.810600000000562</c:v>
                </c:pt>
                <c:pt idx="623">
                  <c:v>36.810700000000566</c:v>
                </c:pt>
                <c:pt idx="624">
                  <c:v>36.810800000000569</c:v>
                </c:pt>
                <c:pt idx="625">
                  <c:v>36.810900000000572</c:v>
                </c:pt>
                <c:pt idx="626">
                  <c:v>36.811000000000575</c:v>
                </c:pt>
                <c:pt idx="627">
                  <c:v>36.811100000000579</c:v>
                </c:pt>
                <c:pt idx="628">
                  <c:v>36.811200000000582</c:v>
                </c:pt>
                <c:pt idx="629">
                  <c:v>36.811300000000585</c:v>
                </c:pt>
                <c:pt idx="630">
                  <c:v>36.811400000000589</c:v>
                </c:pt>
                <c:pt idx="631">
                  <c:v>36.811500000000592</c:v>
                </c:pt>
                <c:pt idx="632">
                  <c:v>36.811600000000595</c:v>
                </c:pt>
                <c:pt idx="633">
                  <c:v>36.811700000000599</c:v>
                </c:pt>
                <c:pt idx="634">
                  <c:v>36.811800000000602</c:v>
                </c:pt>
                <c:pt idx="635">
                  <c:v>36.811900000000605</c:v>
                </c:pt>
                <c:pt idx="636">
                  <c:v>36.812000000000609</c:v>
                </c:pt>
                <c:pt idx="637">
                  <c:v>36.812100000000612</c:v>
                </c:pt>
                <c:pt idx="638">
                  <c:v>36.812200000000615</c:v>
                </c:pt>
                <c:pt idx="639">
                  <c:v>36.812300000000619</c:v>
                </c:pt>
                <c:pt idx="640">
                  <c:v>36.812400000000622</c:v>
                </c:pt>
                <c:pt idx="641">
                  <c:v>36.812500000000625</c:v>
                </c:pt>
                <c:pt idx="642">
                  <c:v>36.812600000000629</c:v>
                </c:pt>
                <c:pt idx="643">
                  <c:v>36.812700000000632</c:v>
                </c:pt>
                <c:pt idx="644">
                  <c:v>36.812800000000635</c:v>
                </c:pt>
                <c:pt idx="645">
                  <c:v>36.812900000000639</c:v>
                </c:pt>
                <c:pt idx="646">
                  <c:v>36.813000000000642</c:v>
                </c:pt>
                <c:pt idx="647">
                  <c:v>36.813100000000645</c:v>
                </c:pt>
                <c:pt idx="648">
                  <c:v>36.813200000000649</c:v>
                </c:pt>
                <c:pt idx="649">
                  <c:v>36.813300000000652</c:v>
                </c:pt>
                <c:pt idx="650">
                  <c:v>36.813400000000655</c:v>
                </c:pt>
                <c:pt idx="651">
                  <c:v>36.813500000000658</c:v>
                </c:pt>
                <c:pt idx="652">
                  <c:v>36.813600000000662</c:v>
                </c:pt>
                <c:pt idx="653">
                  <c:v>36.813700000000665</c:v>
                </c:pt>
                <c:pt idx="654">
                  <c:v>36.813800000000668</c:v>
                </c:pt>
                <c:pt idx="655">
                  <c:v>36.813900000000672</c:v>
                </c:pt>
                <c:pt idx="656">
                  <c:v>36.814000000000675</c:v>
                </c:pt>
                <c:pt idx="657">
                  <c:v>36.814100000000678</c:v>
                </c:pt>
                <c:pt idx="658">
                  <c:v>36.814200000000682</c:v>
                </c:pt>
                <c:pt idx="659">
                  <c:v>36.814300000000685</c:v>
                </c:pt>
                <c:pt idx="660">
                  <c:v>36.814400000000688</c:v>
                </c:pt>
                <c:pt idx="661">
                  <c:v>36.814500000000692</c:v>
                </c:pt>
                <c:pt idx="662">
                  <c:v>36.814600000000695</c:v>
                </c:pt>
                <c:pt idx="663">
                  <c:v>36.814700000000698</c:v>
                </c:pt>
                <c:pt idx="664">
                  <c:v>36.814800000000702</c:v>
                </c:pt>
                <c:pt idx="665">
                  <c:v>36.814900000000705</c:v>
                </c:pt>
                <c:pt idx="666">
                  <c:v>36.815000000000708</c:v>
                </c:pt>
                <c:pt idx="667">
                  <c:v>36.815100000000712</c:v>
                </c:pt>
                <c:pt idx="668">
                  <c:v>36.815200000000715</c:v>
                </c:pt>
                <c:pt idx="669">
                  <c:v>36.815300000000718</c:v>
                </c:pt>
                <c:pt idx="670">
                  <c:v>36.815400000000722</c:v>
                </c:pt>
                <c:pt idx="671">
                  <c:v>36.815500000000725</c:v>
                </c:pt>
                <c:pt idx="672">
                  <c:v>36.815600000000728</c:v>
                </c:pt>
                <c:pt idx="673">
                  <c:v>36.815700000000732</c:v>
                </c:pt>
                <c:pt idx="674">
                  <c:v>36.815800000000735</c:v>
                </c:pt>
                <c:pt idx="675">
                  <c:v>36.815900000000738</c:v>
                </c:pt>
                <c:pt idx="676">
                  <c:v>36.816000000000741</c:v>
                </c:pt>
                <c:pt idx="677">
                  <c:v>36.816100000000745</c:v>
                </c:pt>
                <c:pt idx="678">
                  <c:v>36.816200000000748</c:v>
                </c:pt>
                <c:pt idx="679">
                  <c:v>36.816300000000751</c:v>
                </c:pt>
                <c:pt idx="680">
                  <c:v>36.816400000000755</c:v>
                </c:pt>
                <c:pt idx="681">
                  <c:v>36.816500000000758</c:v>
                </c:pt>
                <c:pt idx="682">
                  <c:v>36.816600000000761</c:v>
                </c:pt>
                <c:pt idx="683">
                  <c:v>36.816700000000765</c:v>
                </c:pt>
                <c:pt idx="684">
                  <c:v>36.816800000000768</c:v>
                </c:pt>
                <c:pt idx="685">
                  <c:v>36.816900000000771</c:v>
                </c:pt>
                <c:pt idx="686">
                  <c:v>36.817000000000775</c:v>
                </c:pt>
                <c:pt idx="687">
                  <c:v>36.817100000000778</c:v>
                </c:pt>
                <c:pt idx="688">
                  <c:v>36.817200000000781</c:v>
                </c:pt>
                <c:pt idx="689">
                  <c:v>36.817300000000785</c:v>
                </c:pt>
                <c:pt idx="690">
                  <c:v>36.817400000000788</c:v>
                </c:pt>
                <c:pt idx="691">
                  <c:v>36.817500000000791</c:v>
                </c:pt>
                <c:pt idx="692">
                  <c:v>36.817600000000795</c:v>
                </c:pt>
                <c:pt idx="693">
                  <c:v>36.817700000000798</c:v>
                </c:pt>
                <c:pt idx="694">
                  <c:v>36.817800000000801</c:v>
                </c:pt>
                <c:pt idx="695">
                  <c:v>36.817900000000805</c:v>
                </c:pt>
                <c:pt idx="696">
                  <c:v>36.818000000000808</c:v>
                </c:pt>
                <c:pt idx="697">
                  <c:v>36.818100000000811</c:v>
                </c:pt>
                <c:pt idx="698">
                  <c:v>36.818200000000814</c:v>
                </c:pt>
                <c:pt idx="699">
                  <c:v>36.818300000000818</c:v>
                </c:pt>
                <c:pt idx="700">
                  <c:v>36.818400000000821</c:v>
                </c:pt>
                <c:pt idx="701">
                  <c:v>36.818500000000824</c:v>
                </c:pt>
                <c:pt idx="702">
                  <c:v>36.818600000000828</c:v>
                </c:pt>
                <c:pt idx="703">
                  <c:v>36.818700000000831</c:v>
                </c:pt>
                <c:pt idx="704">
                  <c:v>36.818800000000834</c:v>
                </c:pt>
                <c:pt idx="705">
                  <c:v>36.818900000000838</c:v>
                </c:pt>
                <c:pt idx="706">
                  <c:v>36.819000000000841</c:v>
                </c:pt>
                <c:pt idx="707">
                  <c:v>36.819100000000844</c:v>
                </c:pt>
                <c:pt idx="708">
                  <c:v>36.819200000000848</c:v>
                </c:pt>
                <c:pt idx="709">
                  <c:v>36.819300000000851</c:v>
                </c:pt>
                <c:pt idx="710">
                  <c:v>36.819400000000854</c:v>
                </c:pt>
                <c:pt idx="711">
                  <c:v>36.819500000000858</c:v>
                </c:pt>
                <c:pt idx="712">
                  <c:v>36.819600000000861</c:v>
                </c:pt>
                <c:pt idx="713">
                  <c:v>36.819700000000864</c:v>
                </c:pt>
                <c:pt idx="714">
                  <c:v>36.819800000000868</c:v>
                </c:pt>
                <c:pt idx="715">
                  <c:v>36.819900000000871</c:v>
                </c:pt>
                <c:pt idx="716">
                  <c:v>36.820000000000874</c:v>
                </c:pt>
                <c:pt idx="717">
                  <c:v>36.820100000000878</c:v>
                </c:pt>
                <c:pt idx="718">
                  <c:v>36.820200000000881</c:v>
                </c:pt>
                <c:pt idx="719">
                  <c:v>36.820300000000884</c:v>
                </c:pt>
                <c:pt idx="720">
                  <c:v>36.820400000000888</c:v>
                </c:pt>
                <c:pt idx="721">
                  <c:v>36.820500000000891</c:v>
                </c:pt>
                <c:pt idx="722">
                  <c:v>36.820600000000894</c:v>
                </c:pt>
                <c:pt idx="723">
                  <c:v>36.820700000000897</c:v>
                </c:pt>
                <c:pt idx="724">
                  <c:v>36.820800000000901</c:v>
                </c:pt>
                <c:pt idx="725">
                  <c:v>36.820900000000904</c:v>
                </c:pt>
                <c:pt idx="726">
                  <c:v>36.821000000000907</c:v>
                </c:pt>
                <c:pt idx="727">
                  <c:v>36.821100000000911</c:v>
                </c:pt>
                <c:pt idx="728">
                  <c:v>36.821200000000914</c:v>
                </c:pt>
                <c:pt idx="729">
                  <c:v>36.821300000000917</c:v>
                </c:pt>
                <c:pt idx="730">
                  <c:v>36.821400000000921</c:v>
                </c:pt>
                <c:pt idx="731">
                  <c:v>36.821500000000924</c:v>
                </c:pt>
                <c:pt idx="732">
                  <c:v>36.821600000000927</c:v>
                </c:pt>
                <c:pt idx="733">
                  <c:v>36.821700000000931</c:v>
                </c:pt>
                <c:pt idx="734">
                  <c:v>36.821800000000934</c:v>
                </c:pt>
                <c:pt idx="735">
                  <c:v>36.821900000000937</c:v>
                </c:pt>
                <c:pt idx="736">
                  <c:v>36.822000000000941</c:v>
                </c:pt>
                <c:pt idx="737">
                  <c:v>36.822100000000944</c:v>
                </c:pt>
                <c:pt idx="738">
                  <c:v>36.822200000000947</c:v>
                </c:pt>
                <c:pt idx="739">
                  <c:v>36.822300000000951</c:v>
                </c:pt>
                <c:pt idx="740">
                  <c:v>36.822400000000954</c:v>
                </c:pt>
                <c:pt idx="741">
                  <c:v>36.822500000000957</c:v>
                </c:pt>
                <c:pt idx="742">
                  <c:v>36.822600000000961</c:v>
                </c:pt>
                <c:pt idx="743">
                  <c:v>36.822700000000964</c:v>
                </c:pt>
                <c:pt idx="744">
                  <c:v>36.822800000000967</c:v>
                </c:pt>
                <c:pt idx="745">
                  <c:v>36.822900000000971</c:v>
                </c:pt>
                <c:pt idx="746">
                  <c:v>36.823000000000974</c:v>
                </c:pt>
                <c:pt idx="747">
                  <c:v>36.823100000000977</c:v>
                </c:pt>
                <c:pt idx="748">
                  <c:v>36.82320000000098</c:v>
                </c:pt>
                <c:pt idx="749">
                  <c:v>36.823300000000984</c:v>
                </c:pt>
                <c:pt idx="750">
                  <c:v>36.823400000000987</c:v>
                </c:pt>
                <c:pt idx="751">
                  <c:v>36.82350000000099</c:v>
                </c:pt>
                <c:pt idx="752">
                  <c:v>36.823600000000994</c:v>
                </c:pt>
                <c:pt idx="753">
                  <c:v>36.823700000000997</c:v>
                </c:pt>
                <c:pt idx="754">
                  <c:v>36.823800000001</c:v>
                </c:pt>
                <c:pt idx="755">
                  <c:v>36.823900000001004</c:v>
                </c:pt>
                <c:pt idx="756">
                  <c:v>36.824000000001007</c:v>
                </c:pt>
                <c:pt idx="757">
                  <c:v>36.82410000000101</c:v>
                </c:pt>
                <c:pt idx="758">
                  <c:v>36.824200000001014</c:v>
                </c:pt>
                <c:pt idx="759">
                  <c:v>36.824300000001017</c:v>
                </c:pt>
                <c:pt idx="760">
                  <c:v>36.82440000000102</c:v>
                </c:pt>
                <c:pt idx="761">
                  <c:v>36.824500000001024</c:v>
                </c:pt>
                <c:pt idx="762">
                  <c:v>36.824600000001027</c:v>
                </c:pt>
                <c:pt idx="763">
                  <c:v>36.82470000000103</c:v>
                </c:pt>
                <c:pt idx="764">
                  <c:v>36.824800000001034</c:v>
                </c:pt>
                <c:pt idx="765">
                  <c:v>36.824900000001037</c:v>
                </c:pt>
                <c:pt idx="766">
                  <c:v>36.82500000000104</c:v>
                </c:pt>
                <c:pt idx="767">
                  <c:v>36.825100000001044</c:v>
                </c:pt>
                <c:pt idx="768">
                  <c:v>36.825200000001047</c:v>
                </c:pt>
                <c:pt idx="769">
                  <c:v>36.82530000000105</c:v>
                </c:pt>
                <c:pt idx="770">
                  <c:v>36.825400000001054</c:v>
                </c:pt>
                <c:pt idx="771">
                  <c:v>36.825500000001057</c:v>
                </c:pt>
                <c:pt idx="772">
                  <c:v>36.82560000000106</c:v>
                </c:pt>
                <c:pt idx="773">
                  <c:v>36.825700000001063</c:v>
                </c:pt>
                <c:pt idx="774">
                  <c:v>36.825800000001067</c:v>
                </c:pt>
                <c:pt idx="775">
                  <c:v>36.82590000000107</c:v>
                </c:pt>
                <c:pt idx="776">
                  <c:v>36.826000000001073</c:v>
                </c:pt>
                <c:pt idx="777">
                  <c:v>36.826100000001077</c:v>
                </c:pt>
                <c:pt idx="778">
                  <c:v>36.82620000000108</c:v>
                </c:pt>
                <c:pt idx="779">
                  <c:v>36.826300000001083</c:v>
                </c:pt>
                <c:pt idx="780">
                  <c:v>36.826400000001087</c:v>
                </c:pt>
                <c:pt idx="781">
                  <c:v>36.82650000000109</c:v>
                </c:pt>
                <c:pt idx="782">
                  <c:v>36.826600000001093</c:v>
                </c:pt>
                <c:pt idx="783">
                  <c:v>36.826700000001097</c:v>
                </c:pt>
                <c:pt idx="784">
                  <c:v>36.8268000000011</c:v>
                </c:pt>
                <c:pt idx="785">
                  <c:v>36.826900000001103</c:v>
                </c:pt>
                <c:pt idx="786">
                  <c:v>36.827000000001107</c:v>
                </c:pt>
                <c:pt idx="787">
                  <c:v>36.82710000000111</c:v>
                </c:pt>
                <c:pt idx="788">
                  <c:v>36.827200000001113</c:v>
                </c:pt>
                <c:pt idx="789">
                  <c:v>36.827300000001117</c:v>
                </c:pt>
                <c:pt idx="790">
                  <c:v>36.82740000000112</c:v>
                </c:pt>
                <c:pt idx="791">
                  <c:v>36.827500000001123</c:v>
                </c:pt>
                <c:pt idx="792">
                  <c:v>36.827600000001127</c:v>
                </c:pt>
                <c:pt idx="793">
                  <c:v>36.82770000000113</c:v>
                </c:pt>
                <c:pt idx="794">
                  <c:v>36.827800000001133</c:v>
                </c:pt>
                <c:pt idx="795">
                  <c:v>36.827900000001137</c:v>
                </c:pt>
                <c:pt idx="796">
                  <c:v>36.82800000000114</c:v>
                </c:pt>
                <c:pt idx="797">
                  <c:v>36.828100000001143</c:v>
                </c:pt>
                <c:pt idx="798">
                  <c:v>36.828200000001146</c:v>
                </c:pt>
                <c:pt idx="799">
                  <c:v>36.82830000000115</c:v>
                </c:pt>
                <c:pt idx="800">
                  <c:v>36.828400000001153</c:v>
                </c:pt>
                <c:pt idx="801">
                  <c:v>36.828500000001156</c:v>
                </c:pt>
                <c:pt idx="802">
                  <c:v>36.82860000000116</c:v>
                </c:pt>
                <c:pt idx="803">
                  <c:v>36.828700000001163</c:v>
                </c:pt>
                <c:pt idx="804">
                  <c:v>36.828800000001166</c:v>
                </c:pt>
                <c:pt idx="805">
                  <c:v>36.82890000000117</c:v>
                </c:pt>
                <c:pt idx="806">
                  <c:v>36.829000000001173</c:v>
                </c:pt>
                <c:pt idx="807">
                  <c:v>36.829100000001176</c:v>
                </c:pt>
                <c:pt idx="808">
                  <c:v>36.82920000000118</c:v>
                </c:pt>
                <c:pt idx="809">
                  <c:v>36.829300000001183</c:v>
                </c:pt>
                <c:pt idx="810">
                  <c:v>36.829400000001186</c:v>
                </c:pt>
                <c:pt idx="811">
                  <c:v>36.82950000000119</c:v>
                </c:pt>
                <c:pt idx="812">
                  <c:v>36.829600000001193</c:v>
                </c:pt>
                <c:pt idx="813">
                  <c:v>36.829700000001196</c:v>
                </c:pt>
                <c:pt idx="814">
                  <c:v>36.8298000000012</c:v>
                </c:pt>
                <c:pt idx="815">
                  <c:v>36.829900000001203</c:v>
                </c:pt>
                <c:pt idx="816">
                  <c:v>36.830000000001206</c:v>
                </c:pt>
                <c:pt idx="817">
                  <c:v>36.83010000000121</c:v>
                </c:pt>
                <c:pt idx="818">
                  <c:v>36.830200000001213</c:v>
                </c:pt>
                <c:pt idx="819">
                  <c:v>36.830300000001216</c:v>
                </c:pt>
                <c:pt idx="820">
                  <c:v>36.830400000001219</c:v>
                </c:pt>
                <c:pt idx="821">
                  <c:v>36.830500000001223</c:v>
                </c:pt>
                <c:pt idx="822">
                  <c:v>36.830600000001226</c:v>
                </c:pt>
                <c:pt idx="823">
                  <c:v>36.830700000001229</c:v>
                </c:pt>
                <c:pt idx="824">
                  <c:v>36.830800000001233</c:v>
                </c:pt>
                <c:pt idx="825">
                  <c:v>36.830900000001236</c:v>
                </c:pt>
                <c:pt idx="826">
                  <c:v>36.831000000001239</c:v>
                </c:pt>
                <c:pt idx="827">
                  <c:v>36.831100000001243</c:v>
                </c:pt>
                <c:pt idx="828">
                  <c:v>36.831200000001246</c:v>
                </c:pt>
                <c:pt idx="829">
                  <c:v>36.831300000001249</c:v>
                </c:pt>
                <c:pt idx="830">
                  <c:v>36.831400000001253</c:v>
                </c:pt>
                <c:pt idx="831">
                  <c:v>36.831500000001256</c:v>
                </c:pt>
                <c:pt idx="832">
                  <c:v>36.831600000001259</c:v>
                </c:pt>
                <c:pt idx="833">
                  <c:v>36.831700000001263</c:v>
                </c:pt>
                <c:pt idx="834">
                  <c:v>36.831800000001266</c:v>
                </c:pt>
                <c:pt idx="835">
                  <c:v>36.831900000001269</c:v>
                </c:pt>
                <c:pt idx="836">
                  <c:v>36.832000000001273</c:v>
                </c:pt>
                <c:pt idx="837">
                  <c:v>36.832100000001276</c:v>
                </c:pt>
                <c:pt idx="838">
                  <c:v>36.832200000001279</c:v>
                </c:pt>
                <c:pt idx="839">
                  <c:v>36.832300000001283</c:v>
                </c:pt>
                <c:pt idx="840">
                  <c:v>36.832400000001286</c:v>
                </c:pt>
                <c:pt idx="841">
                  <c:v>36.832500000001289</c:v>
                </c:pt>
                <c:pt idx="842">
                  <c:v>36.832600000001293</c:v>
                </c:pt>
                <c:pt idx="843">
                  <c:v>36.832700000001296</c:v>
                </c:pt>
                <c:pt idx="844">
                  <c:v>36.832800000001299</c:v>
                </c:pt>
                <c:pt idx="845">
                  <c:v>36.832900000001302</c:v>
                </c:pt>
                <c:pt idx="846">
                  <c:v>36.833000000001306</c:v>
                </c:pt>
                <c:pt idx="847">
                  <c:v>36.833100000001309</c:v>
                </c:pt>
                <c:pt idx="848">
                  <c:v>36.833200000001312</c:v>
                </c:pt>
                <c:pt idx="849">
                  <c:v>36.833300000001316</c:v>
                </c:pt>
                <c:pt idx="850">
                  <c:v>36.833400000001319</c:v>
                </c:pt>
                <c:pt idx="851">
                  <c:v>36.833500000001322</c:v>
                </c:pt>
                <c:pt idx="852">
                  <c:v>36.833600000001326</c:v>
                </c:pt>
                <c:pt idx="853">
                  <c:v>36.833700000001329</c:v>
                </c:pt>
                <c:pt idx="854">
                  <c:v>36.833800000001332</c:v>
                </c:pt>
                <c:pt idx="855">
                  <c:v>36.833900000001336</c:v>
                </c:pt>
                <c:pt idx="856">
                  <c:v>36.834000000001339</c:v>
                </c:pt>
                <c:pt idx="857">
                  <c:v>36.834100000001342</c:v>
                </c:pt>
                <c:pt idx="858">
                  <c:v>36.834200000001346</c:v>
                </c:pt>
                <c:pt idx="859">
                  <c:v>36.834300000001349</c:v>
                </c:pt>
                <c:pt idx="860">
                  <c:v>36.834400000001352</c:v>
                </c:pt>
                <c:pt idx="861">
                  <c:v>36.834500000001356</c:v>
                </c:pt>
                <c:pt idx="862">
                  <c:v>36.834600000001359</c:v>
                </c:pt>
                <c:pt idx="863">
                  <c:v>36.834700000001362</c:v>
                </c:pt>
                <c:pt idx="864">
                  <c:v>36.834800000001366</c:v>
                </c:pt>
                <c:pt idx="865">
                  <c:v>36.834900000001369</c:v>
                </c:pt>
                <c:pt idx="866">
                  <c:v>36.835000000001372</c:v>
                </c:pt>
                <c:pt idx="867">
                  <c:v>36.835100000001376</c:v>
                </c:pt>
                <c:pt idx="868">
                  <c:v>36.835200000001379</c:v>
                </c:pt>
                <c:pt idx="869">
                  <c:v>36.835300000001382</c:v>
                </c:pt>
                <c:pt idx="870">
                  <c:v>36.835400000001385</c:v>
                </c:pt>
                <c:pt idx="871">
                  <c:v>36.835500000001389</c:v>
                </c:pt>
                <c:pt idx="872">
                  <c:v>36.835600000001392</c:v>
                </c:pt>
                <c:pt idx="873">
                  <c:v>36.835700000001395</c:v>
                </c:pt>
                <c:pt idx="874">
                  <c:v>36.835800000001399</c:v>
                </c:pt>
                <c:pt idx="875">
                  <c:v>36.835900000001402</c:v>
                </c:pt>
                <c:pt idx="876">
                  <c:v>36.836000000001405</c:v>
                </c:pt>
                <c:pt idx="877">
                  <c:v>36.836100000001409</c:v>
                </c:pt>
                <c:pt idx="878">
                  <c:v>36.836200000001412</c:v>
                </c:pt>
                <c:pt idx="879">
                  <c:v>36.836300000001415</c:v>
                </c:pt>
                <c:pt idx="880">
                  <c:v>36.836400000001419</c:v>
                </c:pt>
                <c:pt idx="881">
                  <c:v>36.836500000001422</c:v>
                </c:pt>
                <c:pt idx="882">
                  <c:v>36.836600000001425</c:v>
                </c:pt>
                <c:pt idx="883">
                  <c:v>36.836700000001429</c:v>
                </c:pt>
                <c:pt idx="884">
                  <c:v>36.836800000001432</c:v>
                </c:pt>
                <c:pt idx="885">
                  <c:v>36.836900000001435</c:v>
                </c:pt>
                <c:pt idx="886">
                  <c:v>36.837000000001439</c:v>
                </c:pt>
                <c:pt idx="887">
                  <c:v>36.837100000001442</c:v>
                </c:pt>
                <c:pt idx="888">
                  <c:v>36.837200000001445</c:v>
                </c:pt>
                <c:pt idx="889">
                  <c:v>36.837300000001449</c:v>
                </c:pt>
                <c:pt idx="890">
                  <c:v>36.837400000001452</c:v>
                </c:pt>
                <c:pt idx="891">
                  <c:v>36.837500000001455</c:v>
                </c:pt>
                <c:pt idx="892">
                  <c:v>36.837600000001459</c:v>
                </c:pt>
                <c:pt idx="893">
                  <c:v>36.837700000001462</c:v>
                </c:pt>
                <c:pt idx="894">
                  <c:v>36.837800000001465</c:v>
                </c:pt>
                <c:pt idx="895">
                  <c:v>36.837900000001468</c:v>
                </c:pt>
                <c:pt idx="896">
                  <c:v>36.838000000001472</c:v>
                </c:pt>
                <c:pt idx="897">
                  <c:v>36.838100000001475</c:v>
                </c:pt>
                <c:pt idx="898">
                  <c:v>36.838200000001478</c:v>
                </c:pt>
                <c:pt idx="899">
                  <c:v>36.838300000001482</c:v>
                </c:pt>
                <c:pt idx="900">
                  <c:v>36.838400000001485</c:v>
                </c:pt>
                <c:pt idx="901">
                  <c:v>36.838500000001488</c:v>
                </c:pt>
                <c:pt idx="902">
                  <c:v>36.838600000001492</c:v>
                </c:pt>
                <c:pt idx="903">
                  <c:v>36.838700000001495</c:v>
                </c:pt>
                <c:pt idx="904">
                  <c:v>36.838800000001498</c:v>
                </c:pt>
                <c:pt idx="905">
                  <c:v>36.838900000001502</c:v>
                </c:pt>
                <c:pt idx="906">
                  <c:v>36.839000000001505</c:v>
                </c:pt>
                <c:pt idx="907">
                  <c:v>36.839100000001508</c:v>
                </c:pt>
                <c:pt idx="908">
                  <c:v>36.839200000001512</c:v>
                </c:pt>
                <c:pt idx="909">
                  <c:v>36.839300000001515</c:v>
                </c:pt>
                <c:pt idx="910">
                  <c:v>36.839400000001518</c:v>
                </c:pt>
                <c:pt idx="911">
                  <c:v>36.839500000001522</c:v>
                </c:pt>
                <c:pt idx="912">
                  <c:v>36.839600000001525</c:v>
                </c:pt>
                <c:pt idx="913">
                  <c:v>36.839700000001528</c:v>
                </c:pt>
                <c:pt idx="914">
                  <c:v>36.839800000001532</c:v>
                </c:pt>
                <c:pt idx="915">
                  <c:v>36.839900000001535</c:v>
                </c:pt>
                <c:pt idx="916">
                  <c:v>36.840000000001538</c:v>
                </c:pt>
                <c:pt idx="917">
                  <c:v>36.840100000001542</c:v>
                </c:pt>
                <c:pt idx="918">
                  <c:v>36.840200000001545</c:v>
                </c:pt>
                <c:pt idx="919">
                  <c:v>36.840300000001548</c:v>
                </c:pt>
                <c:pt idx="920">
                  <c:v>36.840400000001551</c:v>
                </c:pt>
                <c:pt idx="921">
                  <c:v>36.840500000001555</c:v>
                </c:pt>
                <c:pt idx="922">
                  <c:v>36.840600000001558</c:v>
                </c:pt>
                <c:pt idx="923">
                  <c:v>36.840700000001561</c:v>
                </c:pt>
                <c:pt idx="924">
                  <c:v>36.840800000001565</c:v>
                </c:pt>
                <c:pt idx="925">
                  <c:v>36.840900000001568</c:v>
                </c:pt>
                <c:pt idx="926">
                  <c:v>36.841000000001571</c:v>
                </c:pt>
                <c:pt idx="927">
                  <c:v>36.841100000001575</c:v>
                </c:pt>
                <c:pt idx="928">
                  <c:v>36.841200000001578</c:v>
                </c:pt>
                <c:pt idx="929">
                  <c:v>36.841300000001581</c:v>
                </c:pt>
                <c:pt idx="930">
                  <c:v>36.841400000001585</c:v>
                </c:pt>
                <c:pt idx="931">
                  <c:v>36.841500000001588</c:v>
                </c:pt>
                <c:pt idx="932">
                  <c:v>36.841600000001591</c:v>
                </c:pt>
                <c:pt idx="933">
                  <c:v>36.841700000001595</c:v>
                </c:pt>
                <c:pt idx="934">
                  <c:v>36.841800000001598</c:v>
                </c:pt>
                <c:pt idx="935">
                  <c:v>36.841900000001601</c:v>
                </c:pt>
                <c:pt idx="936">
                  <c:v>36.842000000001605</c:v>
                </c:pt>
                <c:pt idx="937">
                  <c:v>36.842100000001608</c:v>
                </c:pt>
                <c:pt idx="938">
                  <c:v>36.842200000001611</c:v>
                </c:pt>
                <c:pt idx="939">
                  <c:v>36.842300000001615</c:v>
                </c:pt>
                <c:pt idx="940">
                  <c:v>36.842400000001618</c:v>
                </c:pt>
                <c:pt idx="941">
                  <c:v>36.842500000001621</c:v>
                </c:pt>
                <c:pt idx="942">
                  <c:v>36.842600000001624</c:v>
                </c:pt>
                <c:pt idx="943">
                  <c:v>36.842700000001628</c:v>
                </c:pt>
                <c:pt idx="944">
                  <c:v>36.842800000001631</c:v>
                </c:pt>
                <c:pt idx="945">
                  <c:v>36.842900000001634</c:v>
                </c:pt>
                <c:pt idx="946">
                  <c:v>36.843000000001638</c:v>
                </c:pt>
                <c:pt idx="947">
                  <c:v>36.843100000001641</c:v>
                </c:pt>
                <c:pt idx="948">
                  <c:v>36.843200000001644</c:v>
                </c:pt>
                <c:pt idx="949">
                  <c:v>36.843300000001648</c:v>
                </c:pt>
                <c:pt idx="950">
                  <c:v>36.843400000001651</c:v>
                </c:pt>
                <c:pt idx="951">
                  <c:v>36.843500000001654</c:v>
                </c:pt>
                <c:pt idx="952">
                  <c:v>36.843600000001658</c:v>
                </c:pt>
                <c:pt idx="953">
                  <c:v>36.843700000001661</c:v>
                </c:pt>
                <c:pt idx="954">
                  <c:v>36.843800000001664</c:v>
                </c:pt>
                <c:pt idx="955">
                  <c:v>36.843900000001668</c:v>
                </c:pt>
                <c:pt idx="956">
                  <c:v>36.844000000001671</c:v>
                </c:pt>
                <c:pt idx="957">
                  <c:v>36.844100000001674</c:v>
                </c:pt>
                <c:pt idx="958">
                  <c:v>36.844200000001678</c:v>
                </c:pt>
                <c:pt idx="959">
                  <c:v>36.844300000001681</c:v>
                </c:pt>
                <c:pt idx="960">
                  <c:v>36.844400000001684</c:v>
                </c:pt>
                <c:pt idx="961">
                  <c:v>36.844500000001688</c:v>
                </c:pt>
                <c:pt idx="962">
                  <c:v>36.844600000001691</c:v>
                </c:pt>
                <c:pt idx="963">
                  <c:v>36.844700000001694</c:v>
                </c:pt>
                <c:pt idx="964">
                  <c:v>36.844800000001698</c:v>
                </c:pt>
                <c:pt idx="965">
                  <c:v>36.844900000001701</c:v>
                </c:pt>
                <c:pt idx="966">
                  <c:v>36.845000000001704</c:v>
                </c:pt>
                <c:pt idx="967">
                  <c:v>36.845100000001707</c:v>
                </c:pt>
                <c:pt idx="968">
                  <c:v>36.845200000001711</c:v>
                </c:pt>
                <c:pt idx="969">
                  <c:v>36.845300000001714</c:v>
                </c:pt>
                <c:pt idx="970">
                  <c:v>36.845400000001717</c:v>
                </c:pt>
                <c:pt idx="971">
                  <c:v>36.845500000001721</c:v>
                </c:pt>
                <c:pt idx="972">
                  <c:v>36.845600000001724</c:v>
                </c:pt>
                <c:pt idx="973">
                  <c:v>36.845700000001727</c:v>
                </c:pt>
                <c:pt idx="974">
                  <c:v>36.845800000001731</c:v>
                </c:pt>
                <c:pt idx="975">
                  <c:v>36.845900000001734</c:v>
                </c:pt>
                <c:pt idx="976">
                  <c:v>36.846000000001737</c:v>
                </c:pt>
                <c:pt idx="977">
                  <c:v>36.846100000001741</c:v>
                </c:pt>
                <c:pt idx="978">
                  <c:v>36.846200000001744</c:v>
                </c:pt>
                <c:pt idx="979">
                  <c:v>36.846300000001747</c:v>
                </c:pt>
                <c:pt idx="980">
                  <c:v>36.846400000001751</c:v>
                </c:pt>
                <c:pt idx="981">
                  <c:v>36.846500000001754</c:v>
                </c:pt>
                <c:pt idx="982">
                  <c:v>36.846600000001757</c:v>
                </c:pt>
                <c:pt idx="983">
                  <c:v>36.846700000001761</c:v>
                </c:pt>
                <c:pt idx="984">
                  <c:v>36.846800000001764</c:v>
                </c:pt>
                <c:pt idx="985">
                  <c:v>36.846900000001767</c:v>
                </c:pt>
                <c:pt idx="986">
                  <c:v>36.847000000001771</c:v>
                </c:pt>
                <c:pt idx="987">
                  <c:v>36.847100000001774</c:v>
                </c:pt>
                <c:pt idx="988">
                  <c:v>36.847200000001777</c:v>
                </c:pt>
                <c:pt idx="989">
                  <c:v>36.847300000001781</c:v>
                </c:pt>
                <c:pt idx="990">
                  <c:v>36.847400000001784</c:v>
                </c:pt>
                <c:pt idx="991">
                  <c:v>36.847500000001787</c:v>
                </c:pt>
                <c:pt idx="992">
                  <c:v>36.84760000000179</c:v>
                </c:pt>
                <c:pt idx="993">
                  <c:v>36.847700000001794</c:v>
                </c:pt>
                <c:pt idx="994">
                  <c:v>36.847800000001797</c:v>
                </c:pt>
                <c:pt idx="995">
                  <c:v>36.8479000000018</c:v>
                </c:pt>
                <c:pt idx="996">
                  <c:v>36.848000000001804</c:v>
                </c:pt>
                <c:pt idx="997">
                  <c:v>36.848100000001807</c:v>
                </c:pt>
                <c:pt idx="998">
                  <c:v>36.84820000000181</c:v>
                </c:pt>
                <c:pt idx="999">
                  <c:v>36.848300000001814</c:v>
                </c:pt>
                <c:pt idx="1000">
                  <c:v>36.848400000001817</c:v>
                </c:pt>
              </c:numCache>
            </c:numRef>
          </c:xVal>
          <c:yVal>
            <c:numRef>
              <c:f>Calculs!$K$4:$K$1004</c:f>
              <c:numCache>
                <c:formatCode>0.00</c:formatCode>
                <c:ptCount val="1001"/>
                <c:pt idx="0">
                  <c:v>497.16938386972515</c:v>
                </c:pt>
                <c:pt idx="1">
                  <c:v>498.89573959931016</c:v>
                </c:pt>
                <c:pt idx="2">
                  <c:v>500.62273167179706</c:v>
                </c:pt>
                <c:pt idx="3">
                  <c:v>502.35320005311092</c:v>
                </c:pt>
                <c:pt idx="4">
                  <c:v>504.08765724446886</c:v>
                </c:pt>
                <c:pt idx="5">
                  <c:v>505.82560681945085</c:v>
                </c:pt>
                <c:pt idx="6">
                  <c:v>507.56685996383527</c:v>
                </c:pt>
                <c:pt idx="7">
                  <c:v>509.31138158541756</c:v>
                </c:pt>
                <c:pt idx="8">
                  <c:v>511.05913664583966</c:v>
                </c:pt>
                <c:pt idx="9">
                  <c:v>512.81009016116366</c:v>
                </c:pt>
                <c:pt idx="10">
                  <c:v>514.56420720243705</c:v>
                </c:pt>
                <c:pt idx="11">
                  <c:v>516.32145289624896</c:v>
                </c:pt>
                <c:pt idx="12">
                  <c:v>518.08179242527808</c:v>
                </c:pt>
                <c:pt idx="13">
                  <c:v>519.84519102883144</c:v>
                </c:pt>
                <c:pt idx="14">
                  <c:v>521.61161400337528</c:v>
                </c:pt>
                <c:pt idx="15">
                  <c:v>523.38102670305636</c:v>
                </c:pt>
                <c:pt idx="16">
                  <c:v>525.1533945402158</c:v>
                </c:pt>
                <c:pt idx="17">
                  <c:v>526.92868298589349</c:v>
                </c:pt>
                <c:pt idx="18">
                  <c:v>528.70685757032436</c:v>
                </c:pt>
                <c:pt idx="19">
                  <c:v>530.48788388342643</c:v>
                </c:pt>
                <c:pt idx="20">
                  <c:v>532.27172757527978</c:v>
                </c:pt>
                <c:pt idx="21">
                  <c:v>534.05835435659776</c:v>
                </c:pt>
                <c:pt idx="22">
                  <c:v>535.84772999918926</c:v>
                </c:pt>
                <c:pt idx="23">
                  <c:v>537.63982033641309</c:v>
                </c:pt>
                <c:pt idx="24">
                  <c:v>539.43459126362404</c:v>
                </c:pt>
                <c:pt idx="25">
                  <c:v>541.23200873860992</c:v>
                </c:pt>
                <c:pt idx="26">
                  <c:v>543.03203878202157</c:v>
                </c:pt>
                <c:pt idx="27">
                  <c:v>544.83464747779362</c:v>
                </c:pt>
                <c:pt idx="28">
                  <c:v>546.63980097355761</c:v>
                </c:pt>
                <c:pt idx="29">
                  <c:v>548.44746548104706</c:v>
                </c:pt>
                <c:pt idx="30">
                  <c:v>550.2576072764939</c:v>
                </c:pt>
                <c:pt idx="31">
                  <c:v>552.07019270101739</c:v>
                </c:pt>
                <c:pt idx="32">
                  <c:v>553.88518816100498</c:v>
                </c:pt>
                <c:pt idx="33">
                  <c:v>555.70256012848495</c:v>
                </c:pt>
                <c:pt idx="34">
                  <c:v>557.52227514149126</c:v>
                </c:pt>
                <c:pt idx="35">
                  <c:v>559.34429980442042</c:v>
                </c:pt>
                <c:pt idx="36">
                  <c:v>561.16860078838067</c:v>
                </c:pt>
                <c:pt idx="37">
                  <c:v>562.99514483153337</c:v>
                </c:pt>
                <c:pt idx="38">
                  <c:v>564.82389873942645</c:v>
                </c:pt>
                <c:pt idx="39">
                  <c:v>566.65482938532023</c:v>
                </c:pt>
                <c:pt idx="40">
                  <c:v>568.48790371050552</c:v>
                </c:pt>
                <c:pt idx="41">
                  <c:v>570.32308872461442</c:v>
                </c:pt>
                <c:pt idx="42">
                  <c:v>572.1603515059229</c:v>
                </c:pt>
                <c:pt idx="43">
                  <c:v>573.99965920164652</c:v>
                </c:pt>
                <c:pt idx="44">
                  <c:v>575.84097902822828</c:v>
                </c:pt>
                <c:pt idx="45">
                  <c:v>577.68427827161906</c:v>
                </c:pt>
                <c:pt idx="46">
                  <c:v>579.52952428755066</c:v>
                </c:pt>
                <c:pt idx="47">
                  <c:v>581.37668450180161</c:v>
                </c:pt>
                <c:pt idx="48">
                  <c:v>583.22572641045554</c:v>
                </c:pt>
                <c:pt idx="49">
                  <c:v>585.07661758015252</c:v>
                </c:pt>
                <c:pt idx="50">
                  <c:v>586.92932564833291</c:v>
                </c:pt>
                <c:pt idx="51">
                  <c:v>588.78381832347418</c:v>
                </c:pt>
                <c:pt idx="52">
                  <c:v>590.64006338532056</c:v>
                </c:pt>
                <c:pt idx="53">
                  <c:v>592.49802868510585</c:v>
                </c:pt>
                <c:pt idx="54">
                  <c:v>594.35768214576876</c:v>
                </c:pt>
                <c:pt idx="55">
                  <c:v>596.21899176216198</c:v>
                </c:pt>
                <c:pt idx="56">
                  <c:v>598.08192560125349</c:v>
                </c:pt>
                <c:pt idx="57">
                  <c:v>599.94645180232192</c:v>
                </c:pt>
                <c:pt idx="58">
                  <c:v>601.81253857714432</c:v>
                </c:pt>
                <c:pt idx="59">
                  <c:v>603.68015421017753</c:v>
                </c:pt>
                <c:pt idx="60">
                  <c:v>605.54926705873288</c:v>
                </c:pt>
                <c:pt idx="61">
                  <c:v>607.41984555314411</c:v>
                </c:pt>
                <c:pt idx="62">
                  <c:v>609.29185819692862</c:v>
                </c:pt>
                <c:pt idx="63">
                  <c:v>611.16526021641982</c:v>
                </c:pt>
                <c:pt idx="64">
                  <c:v>613.03998023910196</c:v>
                </c:pt>
                <c:pt idx="65">
                  <c:v>614.91593370879411</c:v>
                </c:pt>
                <c:pt idx="66">
                  <c:v>616.79303627257457</c:v>
                </c:pt>
                <c:pt idx="67">
                  <c:v>618.67119154378247</c:v>
                </c:pt>
                <c:pt idx="68">
                  <c:v>620.55027889256962</c:v>
                </c:pt>
                <c:pt idx="69">
                  <c:v>622.43014398025457</c:v>
                </c:pt>
                <c:pt idx="70">
                  <c:v>624.3105893178938</c:v>
                </c:pt>
                <c:pt idx="71">
                  <c:v>626.19139614741255</c:v>
                </c:pt>
                <c:pt idx="72">
                  <c:v>628.07234627371463</c:v>
                </c:pt>
                <c:pt idx="73">
                  <c:v>629.95322207108086</c:v>
                </c:pt>
                <c:pt idx="74">
                  <c:v>631.83380648928471</c:v>
                </c:pt>
                <c:pt idx="75">
                  <c:v>633.71388305942742</c:v>
                </c:pt>
                <c:pt idx="76">
                  <c:v>635.5932358994944</c:v>
                </c:pt>
                <c:pt idx="77">
                  <c:v>637.47164971963605</c:v>
                </c:pt>
                <c:pt idx="78">
                  <c:v>639.34890982717468</c:v>
                </c:pt>
                <c:pt idx="79">
                  <c:v>641.22480213134043</c:v>
                </c:pt>
                <c:pt idx="80">
                  <c:v>643.09911314773831</c:v>
                </c:pt>
                <c:pt idx="81">
                  <c:v>644.9716558907736</c:v>
                </c:pt>
                <c:pt idx="82">
                  <c:v>646.84229569084152</c:v>
                </c:pt>
                <c:pt idx="83">
                  <c:v>648.71092415512294</c:v>
                </c:pt>
                <c:pt idx="84">
                  <c:v>650.57743320143447</c:v>
                </c:pt>
                <c:pt idx="85">
                  <c:v>652.44171505816939</c:v>
                </c:pt>
                <c:pt idx="86">
                  <c:v>654.30366226417652</c:v>
                </c:pt>
                <c:pt idx="87">
                  <c:v>656.16316766858006</c:v>
                </c:pt>
                <c:pt idx="88">
                  <c:v>658.020124430539</c:v>
                </c:pt>
                <c:pt idx="89">
                  <c:v>659.8744341973246</c:v>
                </c:pt>
                <c:pt idx="90">
                  <c:v>661.72601525758</c:v>
                </c:pt>
                <c:pt idx="91">
                  <c:v>663.57479431251056</c:v>
                </c:pt>
                <c:pt idx="92">
                  <c:v>665.42069827167882</c:v>
                </c:pt>
                <c:pt idx="93">
                  <c:v>667.26365629703207</c:v>
                </c:pt>
                <c:pt idx="94">
                  <c:v>669.10360184063438</c:v>
                </c:pt>
                <c:pt idx="95">
                  <c:v>670.9404705865926</c:v>
                </c:pt>
                <c:pt idx="96">
                  <c:v>672.77419839923891</c:v>
                </c:pt>
                <c:pt idx="97">
                  <c:v>674.6047295013326</c:v>
                </c:pt>
                <c:pt idx="98">
                  <c:v>676.43202462690215</c:v>
                </c:pt>
                <c:pt idx="99">
                  <c:v>678.25605279092724</c:v>
                </c:pt>
                <c:pt idx="100">
                  <c:v>680.07678308450363</c:v>
                </c:pt>
                <c:pt idx="101">
                  <c:v>681.89418467431676</c:v>
                </c:pt>
                <c:pt idx="102">
                  <c:v>683.70822680211359</c:v>
                </c:pt>
                <c:pt idx="103">
                  <c:v>685.51887878417324</c:v>
                </c:pt>
                <c:pt idx="104">
                  <c:v>687.32611001077612</c:v>
                </c:pt>
                <c:pt idx="105">
                  <c:v>689.12988994567115</c:v>
                </c:pt>
                <c:pt idx="106">
                  <c:v>690.93018812554192</c:v>
                </c:pt>
                <c:pt idx="107">
                  <c:v>692.72697415947118</c:v>
                </c:pt>
                <c:pt idx="108">
                  <c:v>694.52021772840419</c:v>
                </c:pt>
                <c:pt idx="109">
                  <c:v>696.30989880621405</c:v>
                </c:pt>
                <c:pt idx="110">
                  <c:v>698.09601784895585</c:v>
                </c:pt>
                <c:pt idx="111">
                  <c:v>699.87858550997441</c:v>
                </c:pt>
                <c:pt idx="112">
                  <c:v>701.6576123872843</c:v>
                </c:pt>
                <c:pt idx="113">
                  <c:v>703.43310902395137</c:v>
                </c:pt>
                <c:pt idx="114">
                  <c:v>705.20508590847032</c:v>
                </c:pt>
                <c:pt idx="115">
                  <c:v>706.97355347513962</c:v>
                </c:pt>
                <c:pt idx="116">
                  <c:v>708.73852210443295</c:v>
                </c:pt>
                <c:pt idx="117">
                  <c:v>710.50000212336715</c:v>
                </c:pt>
                <c:pt idx="118">
                  <c:v>712.25800380586782</c:v>
                </c:pt>
                <c:pt idx="119">
                  <c:v>714.01253737313061</c:v>
                </c:pt>
                <c:pt idx="120">
                  <c:v>715.7636129939807</c:v>
                </c:pt>
                <c:pt idx="121">
                  <c:v>717.5112407852281</c:v>
                </c:pt>
                <c:pt idx="122">
                  <c:v>719.25543081202034</c:v>
                </c:pt>
                <c:pt idx="123">
                  <c:v>720.99619308819263</c:v>
                </c:pt>
                <c:pt idx="124">
                  <c:v>722.73353757661425</c:v>
                </c:pt>
                <c:pt idx="125">
                  <c:v>724.46747418953225</c:v>
                </c:pt>
                <c:pt idx="126">
                  <c:v>726.19801278891248</c:v>
                </c:pt>
                <c:pt idx="127">
                  <c:v>727.92516318677758</c:v>
                </c:pt>
                <c:pt idx="128">
                  <c:v>729.64893514554217</c:v>
                </c:pt>
                <c:pt idx="129">
                  <c:v>731.36933837834488</c:v>
                </c:pt>
                <c:pt idx="130">
                  <c:v>733.08638254937807</c:v>
                </c:pt>
                <c:pt idx="131">
                  <c:v>734.80007727421435</c:v>
                </c:pt>
                <c:pt idx="132">
                  <c:v>736.51043212013087</c:v>
                </c:pt>
                <c:pt idx="133">
                  <c:v>738.21745660643023</c:v>
                </c:pt>
                <c:pt idx="134">
                  <c:v>739.92116020475919</c:v>
                </c:pt>
                <c:pt idx="135">
                  <c:v>741.62155233942462</c:v>
                </c:pt>
                <c:pt idx="136">
                  <c:v>743.31864238770663</c:v>
                </c:pt>
                <c:pt idx="137">
                  <c:v>745.01243968016945</c:v>
                </c:pt>
                <c:pt idx="138">
                  <c:v>746.70295350096933</c:v>
                </c:pt>
                <c:pt idx="139">
                  <c:v>748.39019308816012</c:v>
                </c:pt>
                <c:pt idx="140">
                  <c:v>750.07416763399613</c:v>
                </c:pt>
                <c:pt idx="141">
                  <c:v>751.75488628523283</c:v>
                </c:pt>
                <c:pt idx="142">
                  <c:v>753.43235814342472</c:v>
                </c:pt>
                <c:pt idx="143">
                  <c:v>755.10659226522091</c:v>
                </c:pt>
                <c:pt idx="144">
                  <c:v>756.77759766265831</c:v>
                </c:pt>
                <c:pt idx="145">
                  <c:v>758.44538330345199</c:v>
                </c:pt>
                <c:pt idx="146">
                  <c:v>760.10995811128396</c:v>
                </c:pt>
                <c:pt idx="147">
                  <c:v>761.77133096608884</c:v>
                </c:pt>
                <c:pt idx="148">
                  <c:v>763.42951070433753</c:v>
                </c:pt>
                <c:pt idx="149">
                  <c:v>765.08450611931846</c:v>
                </c:pt>
                <c:pt idx="150">
                  <c:v>766.73632596141681</c:v>
                </c:pt>
                <c:pt idx="151">
                  <c:v>768.38497893839099</c:v>
                </c:pt>
                <c:pt idx="152">
                  <c:v>770.0304737156473</c:v>
                </c:pt>
                <c:pt idx="153">
                  <c:v>771.67281891651214</c:v>
                </c:pt>
                <c:pt idx="154">
                  <c:v>773.31202312250218</c:v>
                </c:pt>
                <c:pt idx="155">
                  <c:v>774.94809487359191</c:v>
                </c:pt>
                <c:pt idx="156">
                  <c:v>776.58104266847965</c:v>
                </c:pt>
                <c:pt idx="157">
                  <c:v>778.2108749648512</c:v>
                </c:pt>
                <c:pt idx="158">
                  <c:v>779.83760017964096</c:v>
                </c:pt>
                <c:pt idx="159">
                  <c:v>781.46122668929161</c:v>
                </c:pt>
                <c:pt idx="160">
                  <c:v>783.08176283001126</c:v>
                </c:pt>
                <c:pt idx="161">
                  <c:v>784.69921689802857</c:v>
                </c:pt>
                <c:pt idx="162">
                  <c:v>786.31359714984615</c:v>
                </c:pt>
                <c:pt idx="163">
                  <c:v>787.92491180249147</c:v>
                </c:pt>
                <c:pt idx="164">
                  <c:v>789.53316903376628</c:v>
                </c:pt>
                <c:pt idx="165">
                  <c:v>791.13837698249358</c:v>
                </c:pt>
                <c:pt idx="166">
                  <c:v>792.74054374876289</c:v>
                </c:pt>
                <c:pt idx="167">
                  <c:v>794.33967739417358</c:v>
                </c:pt>
                <c:pt idx="168">
                  <c:v>795.93578594207611</c:v>
                </c:pt>
                <c:pt idx="169">
                  <c:v>797.52887737781168</c:v>
                </c:pt>
                <c:pt idx="170">
                  <c:v>799.11895964894961</c:v>
                </c:pt>
                <c:pt idx="171">
                  <c:v>800.70604066552289</c:v>
                </c:pt>
                <c:pt idx="172">
                  <c:v>802.29012830026238</c:v>
                </c:pt>
                <c:pt idx="173">
                  <c:v>803.87123038882839</c:v>
                </c:pt>
                <c:pt idx="174">
                  <c:v>805.44935473004125</c:v>
                </c:pt>
                <c:pt idx="175">
                  <c:v>807.02450908610933</c:v>
                </c:pt>
                <c:pt idx="176">
                  <c:v>808.5967011828559</c:v>
                </c:pt>
                <c:pt idx="177">
                  <c:v>810.1659387099437</c:v>
                </c:pt>
                <c:pt idx="178">
                  <c:v>811.73222932109832</c:v>
                </c:pt>
                <c:pt idx="179">
                  <c:v>813.29558063432921</c:v>
                </c:pt>
                <c:pt idx="180">
                  <c:v>814.85600023214954</c:v>
                </c:pt>
                <c:pt idx="181">
                  <c:v>816.41349566179395</c:v>
                </c:pt>
                <c:pt idx="182">
                  <c:v>817.96807443543491</c:v>
                </c:pt>
                <c:pt idx="183">
                  <c:v>819.51974403039719</c:v>
                </c:pt>
                <c:pt idx="184">
                  <c:v>821.06851188937071</c:v>
                </c:pt>
                <c:pt idx="185">
                  <c:v>822.61438542062194</c:v>
                </c:pt>
                <c:pt idx="186">
                  <c:v>824.15737199820353</c:v>
                </c:pt>
                <c:pt idx="187">
                  <c:v>825.69747896216211</c:v>
                </c:pt>
                <c:pt idx="188">
                  <c:v>827.23471361874499</c:v>
                </c:pt>
                <c:pt idx="189">
                  <c:v>828.76908324060491</c:v>
                </c:pt>
                <c:pt idx="190">
                  <c:v>830.30059506700343</c:v>
                </c:pt>
                <c:pt idx="191">
                  <c:v>831.82925630401223</c:v>
                </c:pt>
                <c:pt idx="192">
                  <c:v>833.35507412471395</c:v>
                </c:pt>
                <c:pt idx="193">
                  <c:v>834.87805566940051</c:v>
                </c:pt>
                <c:pt idx="194">
                  <c:v>836.39820804577016</c:v>
                </c:pt>
                <c:pt idx="195">
                  <c:v>837.91553832912325</c:v>
                </c:pt>
                <c:pt idx="196">
                  <c:v>839.43005356255674</c:v>
                </c:pt>
                <c:pt idx="197">
                  <c:v>840.94176075715643</c:v>
                </c:pt>
                <c:pt idx="198">
                  <c:v>842.45066689218856</c:v>
                </c:pt>
                <c:pt idx="199">
                  <c:v>843.95677891528931</c:v>
                </c:pt>
                <c:pt idx="200">
                  <c:v>845.46010374265359</c:v>
                </c:pt>
                <c:pt idx="201">
                  <c:v>860.34058948310269</c:v>
                </c:pt>
                <c:pt idx="202">
                  <c:v>874.94677406198548</c:v>
                </c:pt>
                <c:pt idx="203">
                  <c:v>889.28528057435142</c:v>
                </c:pt>
                <c:pt idx="204">
                  <c:v>903.36244111234146</c:v>
                </c:pt>
                <c:pt idx="205">
                  <c:v>917.18431336203446</c:v>
                </c:pt>
                <c:pt idx="206">
                  <c:v>930.75669601764514</c:v>
                </c:pt>
                <c:pt idx="207">
                  <c:v>944.08514311313081</c:v>
                </c:pt>
                <c:pt idx="208">
                  <c:v>957.17497736148778</c:v>
                </c:pt>
                <c:pt idx="209">
                  <c:v>970.03130258331862</c:v>
                </c:pt>
                <c:pt idx="210">
                  <c:v>982.65901529849975</c:v>
                </c:pt>
                <c:pt idx="211">
                  <c:v>995.06281554786165</c:v>
                </c:pt>
                <c:pt idx="212">
                  <c:v>1007.2472170056067</c:v>
                </c:pt>
                <c:pt idx="213">
                  <c:v>1019.2165564376544</c:v>
                </c:pt>
                <c:pt idx="214">
                  <c:v>1030.9750025561332</c:v>
                </c:pt>
                <c:pt idx="215">
                  <c:v>1042.5265643157777</c:v>
                </c:pt>
                <c:pt idx="216">
                  <c:v>1053.8750986939813</c:v>
                </c:pt>
                <c:pt idx="217">
                  <c:v>1065.0243179926308</c:v>
                </c:pt>
                <c:pt idx="218">
                  <c:v>1075.9777966966003</c:v>
                </c:pt>
                <c:pt idx="219">
                  <c:v>1086.7389779208268</c:v>
                </c:pt>
                <c:pt idx="220">
                  <c:v>1097.3111794752342</c:v>
                </c:pt>
                <c:pt idx="221">
                  <c:v>1107.6975995743564</c:v>
                </c:pt>
                <c:pt idx="222">
                  <c:v>1117.9013222163239</c:v>
                </c:pt>
                <c:pt idx="223">
                  <c:v>1127.9253222538971</c:v>
                </c:pt>
                <c:pt idx="224">
                  <c:v>1137.7724701784193</c:v>
                </c:pt>
                <c:pt idx="225">
                  <c:v>1147.4455366359275</c:v>
                </c:pt>
                <c:pt idx="226">
                  <c:v>1156.9471966931587</c:v>
                </c:pt>
                <c:pt idx="227">
                  <c:v>1166.2800338698287</c:v>
                </c:pt>
                <c:pt idx="228">
                  <c:v>1175.4465439523137</c:v>
                </c:pt>
                <c:pt idx="229">
                  <c:v>1184.4491386027316</c:v>
                </c:pt>
                <c:pt idx="230">
                  <c:v>1193.2901487763725</c:v>
                </c:pt>
                <c:pt idx="231">
                  <c:v>1201.9718279594815</c:v>
                </c:pt>
                <c:pt idx="232">
                  <c:v>1210.4963552385216</c:v>
                </c:pt>
                <c:pt idx="233">
                  <c:v>1218.8658382112392</c:v>
                </c:pt>
                <c:pt idx="234">
                  <c:v>1227.0823157491263</c:v>
                </c:pt>
                <c:pt idx="235">
                  <c:v>1235.1477606201915</c:v>
                </c:pt>
                <c:pt idx="236">
                  <c:v>1243.0640819803316</c:v>
                </c:pt>
                <c:pt idx="237">
                  <c:v>1250.8331277410227</c:v>
                </c:pt>
                <c:pt idx="238">
                  <c:v>1258.4566868205245</c:v>
                </c:pt>
                <c:pt idx="239">
                  <c:v>1265.9364912852984</c:v>
                </c:pt>
                <c:pt idx="240">
                  <c:v>1273.2742183878981</c:v>
                </c:pt>
                <c:pt idx="241">
                  <c:v>1280.4714925071723</c:v>
                </c:pt>
                <c:pt idx="242">
                  <c:v>1287.5298869962357</c:v>
                </c:pt>
                <c:pt idx="243">
                  <c:v>1294.4509259433123</c:v>
                </c:pt>
                <c:pt idx="244">
                  <c:v>1301.2360858502236</c:v>
                </c:pt>
                <c:pt idx="245">
                  <c:v>1307.886797232994</c:v>
                </c:pt>
                <c:pt idx="246">
                  <c:v>1314.4044461487588</c:v>
                </c:pt>
                <c:pt idx="247">
                  <c:v>1320.7903756529063</c:v>
                </c:pt>
                <c:pt idx="248">
                  <c:v>1327.0458871901365</c:v>
                </c:pt>
                <c:pt idx="249">
                  <c:v>1333.172241922897</c:v>
                </c:pt>
                <c:pt idx="250">
                  <c:v>1339.1706620004506</c:v>
                </c:pt>
                <c:pt idx="251">
                  <c:v>1345.04233177163</c:v>
                </c:pt>
                <c:pt idx="252">
                  <c:v>1350.7883989441607</c:v>
                </c:pt>
                <c:pt idx="253">
                  <c:v>1356.4099756932626</c:v>
                </c:pt>
                <c:pt idx="254">
                  <c:v>1361.9081397220871</c:v>
                </c:pt>
                <c:pt idx="255">
                  <c:v>1367.2839352764031</c:v>
                </c:pt>
                <c:pt idx="256">
                  <c:v>1372.5383741158123</c:v>
                </c:pt>
                <c:pt idx="257">
                  <c:v>1377.6724364436477</c:v>
                </c:pt>
                <c:pt idx="258">
                  <c:v>1382.6870717975996</c:v>
                </c:pt>
                <c:pt idx="259">
                  <c:v>1387.5831999030042</c:v>
                </c:pt>
                <c:pt idx="260">
                  <c:v>1392.3617114906324</c:v>
                </c:pt>
                <c:pt idx="261">
                  <c:v>1397.0234690807297</c:v>
                </c:pt>
                <c:pt idx="262">
                  <c:v>1401.5693077349738</c:v>
                </c:pt>
                <c:pt idx="263">
                  <c:v>1406.0000357779422</c:v>
                </c:pt>
                <c:pt idx="264">
                  <c:v>1410.3164354896151</c:v>
                </c:pt>
                <c:pt idx="265">
                  <c:v>1414.5192637703781</c:v>
                </c:pt>
                <c:pt idx="266">
                  <c:v>1418.6092527799356</c:v>
                </c:pt>
                <c:pt idx="267">
                  <c:v>1422.5871105514993</c:v>
                </c:pt>
                <c:pt idx="268">
                  <c:v>1426.4535215825749</c:v>
                </c:pt>
                <c:pt idx="269">
                  <c:v>1430.2091474036406</c:v>
                </c:pt>
                <c:pt idx="270">
                  <c:v>1433.8546271259822</c:v>
                </c:pt>
                <c:pt idx="271">
                  <c:v>1437.3905779699351</c:v>
                </c:pt>
                <c:pt idx="272">
                  <c:v>1440.8175957747701</c:v>
                </c:pt>
                <c:pt idx="273">
                  <c:v>1444.1362554914645</c:v>
                </c:pt>
                <c:pt idx="274">
                  <c:v>1447.3471116596004</c:v>
                </c:pt>
                <c:pt idx="275">
                  <c:v>1450.4506988696583</c:v>
                </c:pt>
                <c:pt idx="276">
                  <c:v>1453.4475322119943</c:v>
                </c:pt>
                <c:pt idx="277">
                  <c:v>1456.3381077138356</c:v>
                </c:pt>
                <c:pt idx="278">
                  <c:v>1459.1229027656755</c:v>
                </c:pt>
                <c:pt idx="279">
                  <c:v>1461.8023765385194</c:v>
                </c:pt>
                <c:pt idx="280">
                  <c:v>1464.3769703935079</c:v>
                </c:pt>
                <c:pt idx="281">
                  <c:v>1466.8471082855417</c:v>
                </c:pt>
                <c:pt idx="282">
                  <c:v>1469.2131971626427</c:v>
                </c:pt>
                <c:pt idx="283">
                  <c:v>1471.4756273629116</c:v>
                </c:pt>
                <c:pt idx="284">
                  <c:v>1473.6347730110911</c:v>
                </c:pt>
                <c:pt idx="285">
                  <c:v>1475.690992416899</c:v>
                </c:pt>
                <c:pt idx="286">
                  <c:v>1477.6446284774804</c:v>
                </c:pt>
                <c:pt idx="287">
                  <c:v>1479.4960090865077</c:v>
                </c:pt>
                <c:pt idx="288">
                  <c:v>1481.2454475526677</c:v>
                </c:pt>
                <c:pt idx="289">
                  <c:v>1482.8932430304676</c:v>
                </c:pt>
                <c:pt idx="290">
                  <c:v>1484.4396809664947</c:v>
                </c:pt>
                <c:pt idx="291">
                  <c:v>1485.8850335644427</c:v>
                </c:pt>
                <c:pt idx="292">
                  <c:v>1487.2295602723659</c:v>
                </c:pt>
                <c:pt idx="293">
                  <c:v>1488.4735082957209</c:v>
                </c:pt>
                <c:pt idx="294">
                  <c:v>1489.6171131397746</c:v>
                </c:pt>
                <c:pt idx="295">
                  <c:v>1490.660599184883</c:v>
                </c:pt>
                <c:pt idx="296">
                  <c:v>1491.6041802979344</c:v>
                </c:pt>
                <c:pt idx="297">
                  <c:v>1492.4480604828766</c:v>
                </c:pt>
                <c:pt idx="298">
                  <c:v>1493.1924345726979</c:v>
                </c:pt>
                <c:pt idx="299">
                  <c:v>1493.8374889644558</c:v>
                </c:pt>
                <c:pt idx="300">
                  <c:v>1494.3834023979637</c:v>
                </c:pt>
                <c:pt idx="301">
                  <c:v>1494.8303467775438</c:v>
                </c:pt>
                <c:pt idx="302">
                  <c:v>1495.1784880348675</c:v>
                </c:pt>
                <c:pt idx="303">
                  <c:v>1495.4279870293822</c:v>
                </c:pt>
                <c:pt idx="304">
                  <c:v>1495.579000481247</c:v>
                </c:pt>
                <c:pt idx="305">
                  <c:v>1495.6316819301612</c:v>
                </c:pt>
                <c:pt idx="306">
                  <c:v>1495.5861827120787</c:v>
                </c:pt>
                <c:pt idx="307">
                  <c:v>1495.4426529446762</c:v>
                </c:pt>
                <c:pt idx="308">
                  <c:v>1495.2012425116748</c:v>
                </c:pt>
                <c:pt idx="309">
                  <c:v>1494.8621020357705</c:v>
                </c:pt>
                <c:pt idx="310">
                  <c:v>1494.4253838300574</c:v>
                </c:pt>
                <c:pt idx="311">
                  <c:v>1493.8912428183949</c:v>
                </c:pt>
                <c:pt idx="312">
                  <c:v>1493.2598374161428</c:v>
                </c:pt>
                <c:pt idx="313">
                  <c:v>1492.5313303639764</c:v>
                </c:pt>
                <c:pt idx="314">
                  <c:v>1491.7058895089804</c:v>
                </c:pt>
                <c:pt idx="315">
                  <c:v>1490.7836885288059</c:v>
                </c:pt>
                <c:pt idx="316">
                  <c:v>1489.7649075962474</c:v>
                </c:pt>
                <c:pt idx="317">
                  <c:v>1488.6497339830596</c:v>
                </c:pt>
                <c:pt idx="318">
                  <c:v>1487.4383626031372</c:v>
                </c:pt>
                <c:pt idx="319">
                  <c:v>1486.1309964962697</c:v>
                </c:pt>
                <c:pt idx="320">
                  <c:v>1484.7278472545513</c:v>
                </c:pt>
                <c:pt idx="321">
                  <c:v>1483.2291353941666</c:v>
                </c:pt>
                <c:pt idx="322">
                  <c:v>1481.6350906757191</c:v>
                </c:pt>
                <c:pt idx="323">
                  <c:v>1479.9459523765213</c:v>
                </c:pt>
                <c:pt idx="324">
                  <c:v>1478.1619695183888</c:v>
                </c:pt>
                <c:pt idx="325">
                  <c:v>1476.2834010544673</c:v>
                </c:pt>
                <c:pt idx="326">
                  <c:v>1474.3105160185323</c:v>
                </c:pt>
                <c:pt idx="327">
                  <c:v>1472.2435936400507</c:v>
                </c:pt>
                <c:pt idx="328">
                  <c:v>1470.0829234280875</c:v>
                </c:pt>
                <c:pt idx="329">
                  <c:v>1467.8288052269343</c:v>
                </c:pt>
                <c:pt idx="330">
                  <c:v>1465.4815492460955</c:v>
                </c:pt>
                <c:pt idx="331">
                  <c:v>1463.0414760670474</c:v>
                </c:pt>
                <c:pt idx="332">
                  <c:v>1460.5089166289581</c:v>
                </c:pt>
                <c:pt idx="333">
                  <c:v>1457.8842121953503</c:v>
                </c:pt>
                <c:pt idx="334">
                  <c:v>1455.1677143034869</c:v>
                </c:pt>
                <c:pt idx="335">
                  <c:v>1452.359784698087</c:v>
                </c:pt>
                <c:pt idx="336">
                  <c:v>1449.4607952508086</c:v>
                </c:pt>
                <c:pt idx="337">
                  <c:v>1446.4711278667953</c:v>
                </c:pt>
                <c:pt idx="338">
                  <c:v>1443.3911743794451</c:v>
                </c:pt>
                <c:pt idx="339">
                  <c:v>1440.2213364344457</c:v>
                </c:pt>
                <c:pt idx="340">
                  <c:v>1436.9620253640176</c:v>
                </c:pt>
                <c:pt idx="341">
                  <c:v>1433.6136620522122</c:v>
                </c:pt>
                <c:pt idx="342">
                  <c:v>1430.176676792034</c:v>
                </c:pt>
                <c:pt idx="343">
                  <c:v>1426.6515091350793</c:v>
                </c:pt>
                <c:pt idx="344">
                  <c:v>1423.0386077343308</c:v>
                </c:pt>
                <c:pt idx="345">
                  <c:v>1419.3384301806809</c:v>
                </c:pt>
                <c:pt idx="346">
                  <c:v>1415.5514428337206</c:v>
                </c:pt>
                <c:pt idx="347">
                  <c:v>1411.6781206472765</c:v>
                </c:pt>
                <c:pt idx="348">
                  <c:v>1407.7189469901525</c:v>
                </c:pt>
                <c:pt idx="349">
                  <c:v>1403.6744134624894</c:v>
                </c:pt>
                <c:pt idx="350">
                  <c:v>1399.5450197081373</c:v>
                </c:pt>
                <c:pt idx="351">
                  <c:v>1395.3312732234001</c:v>
                </c:pt>
                <c:pt idx="352">
                  <c:v>1391.0336891624979</c:v>
                </c:pt>
                <c:pt idx="353">
                  <c:v>1386.652790140065</c:v>
                </c:pt>
                <c:pt idx="354">
                  <c:v>1382.1891060309893</c:v>
                </c:pt>
                <c:pt idx="355">
                  <c:v>1377.6431737678802</c:v>
                </c:pt>
                <c:pt idx="356">
                  <c:v>1373.0155371364376</c:v>
                </c:pt>
                <c:pt idx="357">
                  <c:v>1368.3067465689817</c:v>
                </c:pt>
                <c:pt idx="358">
                  <c:v>1363.5173589363935</c:v>
                </c:pt>
                <c:pt idx="359">
                  <c:v>1358.6479373387012</c:v>
                </c:pt>
                <c:pt idx="360">
                  <c:v>1353.6990508945419</c:v>
                </c:pt>
                <c:pt idx="361">
                  <c:v>1348.6712745297152</c:v>
                </c:pt>
                <c:pt idx="362">
                  <c:v>1343.5651887650415</c:v>
                </c:pt>
                <c:pt idx="363">
                  <c:v>1338.3813795037227</c:v>
                </c:pt>
                <c:pt idx="364">
                  <c:v>1333.1204378184036</c:v>
                </c:pt>
                <c:pt idx="365">
                  <c:v>1327.7829597381199</c:v>
                </c:pt>
                <c:pt idx="366">
                  <c:v>1322.3695460353131</c:v>
                </c:pt>
                <c:pt idx="367">
                  <c:v>1316.8808020130878</c:v>
                </c:pt>
                <c:pt idx="368">
                  <c:v>1311.3173372928791</c:v>
                </c:pt>
                <c:pt idx="369">
                  <c:v>1305.679765602692</c:v>
                </c:pt>
                <c:pt idx="370">
                  <c:v>1299.9687045660703</c:v>
                </c:pt>
                <c:pt idx="371">
                  <c:v>1294.1847754919459</c:v>
                </c:pt>
                <c:pt idx="372">
                  <c:v>1288.3286031655127</c:v>
                </c:pt>
                <c:pt idx="373">
                  <c:v>1282.4008156402683</c:v>
                </c:pt>
                <c:pt idx="374">
                  <c:v>1276.4020440313552</c:v>
                </c:pt>
                <c:pt idx="375">
                  <c:v>1270.3329223103353</c:v>
                </c:pt>
                <c:pt idx="376">
                  <c:v>1264.194087101519</c:v>
                </c:pt>
                <c:pt idx="377">
                  <c:v>1257.9861774799717</c:v>
                </c:pt>
                <c:pt idx="378">
                  <c:v>1251.7098347713118</c:v>
                </c:pt>
                <c:pt idx="379">
                  <c:v>1245.3657023534106</c:v>
                </c:pt>
                <c:pt idx="380">
                  <c:v>1238.9544254601005</c:v>
                </c:pt>
                <c:pt idx="381">
                  <c:v>1232.4766509869917</c:v>
                </c:pt>
                <c:pt idx="382">
                  <c:v>1225.933027299493</c:v>
                </c:pt>
                <c:pt idx="383">
                  <c:v>1219.3242040431317</c:v>
                </c:pt>
                <c:pt idx="384">
                  <c:v>1212.6508319562545</c:v>
                </c:pt>
                <c:pt idx="385">
                  <c:v>1205.9135626851976</c:v>
                </c:pt>
                <c:pt idx="386">
                  <c:v>1199.1130486020004</c:v>
                </c:pt>
                <c:pt idx="387">
                  <c:v>1192.2499426247384</c:v>
                </c:pt>
                <c:pt idx="388">
                  <c:v>1185.3248980405447</c:v>
                </c:pt>
                <c:pt idx="389">
                  <c:v>1178.3385683313841</c:v>
                </c:pt>
                <c:pt idx="390">
                  <c:v>1171.291607002644</c:v>
                </c:pt>
                <c:pt idx="391">
                  <c:v>1164.184667414595</c:v>
                </c:pt>
                <c:pt idx="392">
                  <c:v>1157.0184026167769</c:v>
                </c:pt>
                <c:pt idx="393">
                  <c:v>1149.7934651853589</c:v>
                </c:pt>
                <c:pt idx="394">
                  <c:v>1142.5105070635166</c:v>
                </c:pt>
                <c:pt idx="395">
                  <c:v>1135.1701794048695</c:v>
                </c:pt>
                <c:pt idx="396">
                  <c:v>1127.7731324200142</c:v>
                </c:pt>
                <c:pt idx="397">
                  <c:v>1120.3200152261882</c:v>
                </c:pt>
                <c:pt idx="398">
                  <c:v>1112.8114757000931</c:v>
                </c:pt>
                <c:pt idx="399">
                  <c:v>1105.2481603339036</c:v>
                </c:pt>
                <c:pt idx="400">
                  <c:v>1097.6307140944857</c:v>
                </c:pt>
                <c:pt idx="401">
                  <c:v>1089.959780285843</c:v>
                </c:pt>
                <c:pt idx="402">
                  <c:v>1082.2360004148056</c:v>
                </c:pt>
                <c:pt idx="403">
                  <c:v>1074.4600140599773</c:v>
                </c:pt>
                <c:pt idx="404">
                  <c:v>1066.6324587439476</c:v>
                </c:pt>
                <c:pt idx="405">
                  <c:v>1058.7539698087771</c:v>
                </c:pt>
                <c:pt idx="406">
                  <c:v>1050.8251802947589</c:v>
                </c:pt>
                <c:pt idx="407">
                  <c:v>1042.8467208224554</c:v>
                </c:pt>
                <c:pt idx="408">
                  <c:v>1034.8192194780113</c:v>
                </c:pt>
                <c:pt idx="409">
                  <c:v>1026.743301701734</c:v>
                </c:pt>
                <c:pt idx="410">
                  <c:v>1018.6195901799366</c:v>
                </c:pt>
                <c:pt idx="411">
                  <c:v>1010.448704740032</c:v>
                </c:pt>
                <c:pt idx="412">
                  <c:v>1002.231262248866</c:v>
                </c:pt>
                <c:pt idx="413">
                  <c:v>993.96787651427383</c:v>
                </c:pt>
                <c:pt idx="414">
                  <c:v>985.65915818984342</c:v>
                </c:pt>
                <c:pt idx="415">
                  <c:v>977.30571468286564</c:v>
                </c:pt>
                <c:pt idx="416">
                  <c:v>968.90815006544972</c:v>
                </c:pt>
                <c:pt idx="417">
                  <c:v>960.46706498878098</c:v>
                </c:pt>
                <c:pt idx="418">
                  <c:v>951.98305660049482</c:v>
                </c:pt>
                <c:pt idx="419">
                  <c:v>943.45671846513994</c:v>
                </c:pt>
                <c:pt idx="420">
                  <c:v>934.88864048770131</c:v>
                </c:pt>
                <c:pt idx="421">
                  <c:v>926.27940884015345</c:v>
                </c:pt>
                <c:pt idx="422">
                  <c:v>917.62960589100999</c:v>
                </c:pt>
                <c:pt idx="423">
                  <c:v>908.93981013783753</c:v>
                </c:pt>
                <c:pt idx="424">
                  <c:v>900.21059614269745</c:v>
                </c:pt>
                <c:pt idx="425">
                  <c:v>891.44253447048027</c:v>
                </c:pt>
                <c:pt idx="426">
                  <c:v>882.636191630094</c:v>
                </c:pt>
                <c:pt idx="427">
                  <c:v>873.79213001846813</c:v>
                </c:pt>
                <c:pt idx="428">
                  <c:v>864.910907867334</c:v>
                </c:pt>
                <c:pt idx="429">
                  <c:v>855.9930791927394</c:v>
                </c:pt>
                <c:pt idx="430">
                  <c:v>847.03919374725672</c:v>
                </c:pt>
                <c:pt idx="431">
                  <c:v>838.04979697484168</c:v>
                </c:pt>
                <c:pt idx="432">
                  <c:v>829.02542996829959</c:v>
                </c:pt>
                <c:pt idx="433">
                  <c:v>819.96662942931414</c:v>
                </c:pt>
                <c:pt idx="434">
                  <c:v>810.87392763099501</c:v>
                </c:pt>
                <c:pt idx="435">
                  <c:v>801.7478523828986</c:v>
                </c:pt>
                <c:pt idx="436">
                  <c:v>792.58892699847638</c:v>
                </c:pt>
                <c:pt idx="437">
                  <c:v>783.39767026490404</c:v>
                </c:pt>
                <c:pt idx="438">
                  <c:v>774.17459641524511</c:v>
                </c:pt>
                <c:pt idx="439">
                  <c:v>764.92021510290283</c:v>
                </c:pt>
                <c:pt idx="440">
                  <c:v>755.63503137831196</c:v>
                </c:pt>
                <c:pt idx="441">
                  <c:v>746.31954566782406</c:v>
                </c:pt>
                <c:pt idx="442">
                  <c:v>736.97425375473767</c:v>
                </c:pt>
                <c:pt idx="443">
                  <c:v>727.59964676242737</c:v>
                </c:pt>
                <c:pt idx="444">
                  <c:v>718.19621113952212</c:v>
                </c:pt>
                <c:pt idx="445">
                  <c:v>708.76442864708645</c:v>
                </c:pt>
                <c:pt idx="446">
                  <c:v>699.30477634775661</c:v>
                </c:pt>
                <c:pt idx="447">
                  <c:v>689.81772659678381</c:v>
                </c:pt>
                <c:pt idx="448">
                  <c:v>680.30374703493715</c:v>
                </c:pt>
                <c:pt idx="449">
                  <c:v>670.76330058321935</c:v>
                </c:pt>
                <c:pt idx="450">
                  <c:v>661.19684543934761</c:v>
                </c:pt>
                <c:pt idx="451">
                  <c:v>651.60483507595302</c:v>
                </c:pt>
                <c:pt idx="452">
                  <c:v>641.9877182404523</c:v>
                </c:pt>
                <c:pt idx="453">
                  <c:v>632.34593895654507</c:v>
                </c:pt>
                <c:pt idx="454">
                  <c:v>622.67993652729092</c:v>
                </c:pt>
                <c:pt idx="455">
                  <c:v>612.99014553972074</c:v>
                </c:pt>
                <c:pt idx="456">
                  <c:v>603.2769958709373</c:v>
                </c:pt>
                <c:pt idx="457">
                  <c:v>593.5409126956605</c:v>
                </c:pt>
                <c:pt idx="458">
                  <c:v>583.78231649517204</c:v>
                </c:pt>
                <c:pt idx="459">
                  <c:v>574.00162306761729</c:v>
                </c:pt>
                <c:pt idx="460">
                  <c:v>564.19924353961949</c:v>
                </c:pt>
                <c:pt idx="461">
                  <c:v>554.37558437916482</c:v>
                </c:pt>
                <c:pt idx="462">
                  <c:v>544.53104740971503</c:v>
                </c:pt>
                <c:pt idx="463">
                  <c:v>534.66602982550648</c:v>
                </c:pt>
                <c:pt idx="464">
                  <c:v>524.78092420799453</c:v>
                </c:pt>
                <c:pt idx="465">
                  <c:v>514.87611854340253</c:v>
                </c:pt>
                <c:pt idx="466">
                  <c:v>504.95199624133528</c:v>
                </c:pt>
                <c:pt idx="467">
                  <c:v>495.008936154418</c:v>
                </c:pt>
                <c:pt idx="468">
                  <c:v>485.04731259892208</c:v>
                </c:pt>
                <c:pt idx="469">
                  <c:v>475.06749537633897</c:v>
                </c:pt>
                <c:pt idx="470">
                  <c:v>465.06984979586571</c:v>
                </c:pt>
                <c:pt idx="471">
                  <c:v>455.05473669776433</c:v>
                </c:pt>
                <c:pt idx="472">
                  <c:v>445.02251247755959</c:v>
                </c:pt>
                <c:pt idx="473">
                  <c:v>434.97352911103945</c:v>
                </c:pt>
                <c:pt idx="474">
                  <c:v>424.9081341800233</c:v>
                </c:pt>
                <c:pt idx="475">
                  <c:v>414.82667089886405</c:v>
                </c:pt>
                <c:pt idx="476">
                  <c:v>404.72947814165047</c:v>
                </c:pt>
                <c:pt idx="477">
                  <c:v>394.6168904700769</c:v>
                </c:pt>
                <c:pt idx="478">
                  <c:v>384.48923816194844</c:v>
                </c:pt>
                <c:pt idx="479">
                  <c:v>374.34684724029006</c:v>
                </c:pt>
                <c:pt idx="480">
                  <c:v>364.19003950302886</c:v>
                </c:pt>
                <c:pt idx="481">
                  <c:v>354.01913255321926</c:v>
                </c:pt>
                <c:pt idx="482">
                  <c:v>343.83443982978218</c:v>
                </c:pt>
                <c:pt idx="483">
                  <c:v>333.63627063872889</c:v>
                </c:pt>
                <c:pt idx="484">
                  <c:v>323.42493018484203</c:v>
                </c:pt>
                <c:pt idx="485">
                  <c:v>313.20071960378584</c:v>
                </c:pt>
                <c:pt idx="486">
                  <c:v>302.96393599461936</c:v>
                </c:pt>
                <c:pt idx="487">
                  <c:v>292.71487245268634</c:v>
                </c:pt>
                <c:pt idx="488">
                  <c:v>282.45381810285625</c:v>
                </c:pt>
                <c:pt idx="489">
                  <c:v>272.18105813309217</c:v>
                </c:pt>
                <c:pt idx="490">
                  <c:v>261.89687382832085</c:v>
                </c:pt>
                <c:pt idx="491">
                  <c:v>251.60154260458182</c:v>
                </c:pt>
                <c:pt idx="492">
                  <c:v>241.29533804343254</c:v>
                </c:pt>
                <c:pt idx="493">
                  <c:v>230.9785299265875</c:v>
                </c:pt>
                <c:pt idx="494">
                  <c:v>220.65138427076971</c:v>
                </c:pt>
                <c:pt idx="495">
                  <c:v>210.31416336275325</c:v>
                </c:pt>
                <c:pt idx="496">
                  <c:v>199.96712579457699</c:v>
                </c:pt>
                <c:pt idx="497">
                  <c:v>189.61052649890928</c:v>
                </c:pt>
                <c:pt idx="498">
                  <c:v>179.24461678454475</c:v>
                </c:pt>
                <c:pt idx="499">
                  <c:v>168.86964437201419</c:v>
                </c:pt>
                <c:pt idx="500">
                  <c:v>158.48585342928996</c:v>
                </c:pt>
                <c:pt idx="501">
                  <c:v>148.09348460756894</c:v>
                </c:pt>
                <c:pt idx="502">
                  <c:v>137.69277507711647</c:v>
                </c:pt>
                <c:pt idx="503">
                  <c:v>127.28395856315478</c:v>
                </c:pt>
                <c:pt idx="504">
                  <c:v>116.86726538177996</c:v>
                </c:pt>
                <c:pt idx="505">
                  <c:v>106.44292247589216</c:v>
                </c:pt>
                <c:pt idx="506">
                  <c:v>96.011153451124414</c:v>
                </c:pt>
                <c:pt idx="507">
                  <c:v>85.572178611755476</c:v>
                </c:pt>
                <c:pt idx="508">
                  <c:v>75.126214996593134</c:v>
                </c:pt>
                <c:pt idx="509">
                  <c:v>64.673476414814573</c:v>
                </c:pt>
                <c:pt idx="510">
                  <c:v>54.214173481750855</c:v>
                </c:pt>
                <c:pt idx="511">
                  <c:v>43.748513654603386</c:v>
                </c:pt>
                <c:pt idx="512">
                  <c:v>33.276701268080238</c:v>
                </c:pt>
                <c:pt idx="513">
                  <c:v>22.798937569940996</c:v>
                </c:pt>
                <c:pt idx="514">
                  <c:v>12.315420756439096</c:v>
                </c:pt>
                <c:pt idx="515">
                  <c:v>1.8263460076510505</c:v>
                </c:pt>
                <c:pt idx="516">
                  <c:v>-8.6680944773175739</c:v>
                </c:pt>
                <c:pt idx="517">
                  <c:v>-8.6785915555325754</c:v>
                </c:pt>
                <c:pt idx="518">
                  <c:v>-8.6890886388300732</c:v>
                </c:pt>
                <c:pt idx="519">
                  <c:v>-8.6995857272098824</c:v>
                </c:pt>
                <c:pt idx="520">
                  <c:v>-8.7100828206718184</c:v>
                </c:pt>
                <c:pt idx="521">
                  <c:v>-8.7205799192156963</c:v>
                </c:pt>
                <c:pt idx="522">
                  <c:v>-8.7310770228413315</c:v>
                </c:pt>
                <c:pt idx="523">
                  <c:v>-8.7415741315485391</c:v>
                </c:pt>
                <c:pt idx="524">
                  <c:v>-8.7520712453371345</c:v>
                </c:pt>
                <c:pt idx="525">
                  <c:v>-8.7625683642069347</c:v>
                </c:pt>
                <c:pt idx="526">
                  <c:v>-8.7730654881577532</c:v>
                </c:pt>
                <c:pt idx="527">
                  <c:v>-8.7835626171894052</c:v>
                </c:pt>
                <c:pt idx="528">
                  <c:v>-8.794059751301706</c:v>
                </c:pt>
                <c:pt idx="529">
                  <c:v>-8.8045568904944727</c:v>
                </c:pt>
                <c:pt idx="530">
                  <c:v>-8.8150540347675186</c:v>
                </c:pt>
                <c:pt idx="531">
                  <c:v>-8.8255511841206609</c:v>
                </c:pt>
                <c:pt idx="532">
                  <c:v>-8.836048338553713</c:v>
                </c:pt>
                <c:pt idx="533">
                  <c:v>-8.8465454980664919</c:v>
                </c:pt>
                <c:pt idx="534">
                  <c:v>-8.8570426626588112</c:v>
                </c:pt>
                <c:pt idx="535">
                  <c:v>-8.8675398323304879</c:v>
                </c:pt>
                <c:pt idx="536">
                  <c:v>-8.8780370070813355</c:v>
                </c:pt>
                <c:pt idx="537">
                  <c:v>-8.8885341869111709</c:v>
                </c:pt>
                <c:pt idx="538">
                  <c:v>-8.8990313718198095</c:v>
                </c:pt>
                <c:pt idx="539">
                  <c:v>-8.9095285618070665</c:v>
                </c:pt>
                <c:pt idx="540">
                  <c:v>-8.9200257568727572</c:v>
                </c:pt>
                <c:pt idx="541">
                  <c:v>-8.9305229570166969</c:v>
                </c:pt>
                <c:pt idx="542">
                  <c:v>-8.9410201622387007</c:v>
                </c:pt>
                <c:pt idx="543">
                  <c:v>-8.9515173725385839</c:v>
                </c:pt>
                <c:pt idx="544">
                  <c:v>-8.9620145879161619</c:v>
                </c:pt>
                <c:pt idx="545">
                  <c:v>-8.9725118083712498</c:v>
                </c:pt>
                <c:pt idx="546">
                  <c:v>-8.9830090339036648</c:v>
                </c:pt>
                <c:pt idx="547">
                  <c:v>-8.9935062645132202</c:v>
                </c:pt>
                <c:pt idx="548">
                  <c:v>-9.0040035001997314</c:v>
                </c:pt>
                <c:pt idx="549">
                  <c:v>-9.0145007409630153</c:v>
                </c:pt>
                <c:pt idx="550">
                  <c:v>-9.0249979868028873</c:v>
                </c:pt>
                <c:pt idx="551">
                  <c:v>-9.0354952377191609</c:v>
                </c:pt>
                <c:pt idx="552">
                  <c:v>-9.0459924937116529</c:v>
                </c:pt>
                <c:pt idx="553">
                  <c:v>-9.0564897547801788</c:v>
                </c:pt>
                <c:pt idx="554">
                  <c:v>-9.0669870209245538</c:v>
                </c:pt>
                <c:pt idx="555">
                  <c:v>-9.0774842921445931</c:v>
                </c:pt>
                <c:pt idx="556">
                  <c:v>-9.087981568440112</c:v>
                </c:pt>
                <c:pt idx="557">
                  <c:v>-9.0984788498109257</c:v>
                </c:pt>
                <c:pt idx="558">
                  <c:v>-9.1089761362568495</c:v>
                </c:pt>
                <c:pt idx="559">
                  <c:v>-9.1194734277777005</c:v>
                </c:pt>
                <c:pt idx="560">
                  <c:v>-9.1299707243732922</c:v>
                </c:pt>
                <c:pt idx="561">
                  <c:v>-9.1404680260434414</c:v>
                </c:pt>
                <c:pt idx="562">
                  <c:v>-9.1509653327879619</c:v>
                </c:pt>
                <c:pt idx="563">
                  <c:v>-9.1614626446066705</c:v>
                </c:pt>
                <c:pt idx="564">
                  <c:v>-9.1719599614993825</c:v>
                </c:pt>
                <c:pt idx="565">
                  <c:v>-9.1824572834659133</c:v>
                </c:pt>
                <c:pt idx="566">
                  <c:v>-9.192954610506078</c:v>
                </c:pt>
                <c:pt idx="567">
                  <c:v>-9.2034519426196919</c:v>
                </c:pt>
                <c:pt idx="568">
                  <c:v>-9.2139492798065703</c:v>
                </c:pt>
                <c:pt idx="569">
                  <c:v>-9.2244466220665302</c:v>
                </c:pt>
                <c:pt idx="570">
                  <c:v>-9.2349439693993851</c:v>
                </c:pt>
                <c:pt idx="571">
                  <c:v>-9.245441321804952</c:v>
                </c:pt>
                <c:pt idx="572">
                  <c:v>-9.2559386792830463</c:v>
                </c:pt>
                <c:pt idx="573">
                  <c:v>-9.2664360418334812</c:v>
                </c:pt>
                <c:pt idx="574">
                  <c:v>-9.276933409456074</c:v>
                </c:pt>
                <c:pt idx="575">
                  <c:v>-9.2874307821506399</c:v>
                </c:pt>
                <c:pt idx="576">
                  <c:v>-9.2979281599169941</c:v>
                </c:pt>
                <c:pt idx="577">
                  <c:v>-9.3084255427549536</c:v>
                </c:pt>
                <c:pt idx="578">
                  <c:v>-9.318922930664332</c:v>
                </c:pt>
                <c:pt idx="579">
                  <c:v>-9.3294203236449462</c:v>
                </c:pt>
                <c:pt idx="580">
                  <c:v>-9.3399177216966098</c:v>
                </c:pt>
                <c:pt idx="581">
                  <c:v>-9.3504151248191398</c:v>
                </c:pt>
                <c:pt idx="582">
                  <c:v>-9.3609125330123515</c:v>
                </c:pt>
                <c:pt idx="583">
                  <c:v>-9.3714099462760601</c:v>
                </c:pt>
                <c:pt idx="584">
                  <c:v>-9.3819073646100808</c:v>
                </c:pt>
                <c:pt idx="585">
                  <c:v>-9.392404788014229</c:v>
                </c:pt>
                <c:pt idx="586">
                  <c:v>-9.4029022164883216</c:v>
                </c:pt>
                <c:pt idx="587">
                  <c:v>-9.4133996500321722</c:v>
                </c:pt>
                <c:pt idx="588">
                  <c:v>-9.4238970886455977</c:v>
                </c:pt>
                <c:pt idx="589">
                  <c:v>-9.4343945323284135</c:v>
                </c:pt>
                <c:pt idx="590">
                  <c:v>-9.4448919810804348</c:v>
                </c:pt>
                <c:pt idx="591">
                  <c:v>-9.4553894349014769</c:v>
                </c:pt>
                <c:pt idx="592">
                  <c:v>-9.465886893791355</c:v>
                </c:pt>
                <c:pt idx="593">
                  <c:v>-9.4763843577498861</c:v>
                </c:pt>
                <c:pt idx="594">
                  <c:v>-9.4868818267768837</c:v>
                </c:pt>
                <c:pt idx="595">
                  <c:v>-9.497379300872165</c:v>
                </c:pt>
                <c:pt idx="596">
                  <c:v>-9.507876780035545</c:v>
                </c:pt>
                <c:pt idx="597">
                  <c:v>-9.5183742642668392</c:v>
                </c:pt>
                <c:pt idx="598">
                  <c:v>-9.5288717535658627</c:v>
                </c:pt>
                <c:pt idx="599">
                  <c:v>-9.5393692479324308</c:v>
                </c:pt>
                <c:pt idx="600">
                  <c:v>-9.5498667473663605</c:v>
                </c:pt>
                <c:pt idx="601">
                  <c:v>-9.5603642518674672</c:v>
                </c:pt>
                <c:pt idx="602">
                  <c:v>-9.5708617614355642</c:v>
                </c:pt>
                <c:pt idx="603">
                  <c:v>-9.5813592760704687</c:v>
                </c:pt>
                <c:pt idx="604">
                  <c:v>-9.5918567957719958</c:v>
                </c:pt>
                <c:pt idx="605">
                  <c:v>-9.6023543205399626</c:v>
                </c:pt>
                <c:pt idx="606">
                  <c:v>-9.6128518503741827</c:v>
                </c:pt>
                <c:pt idx="607">
                  <c:v>-9.6233493852744729</c:v>
                </c:pt>
                <c:pt idx="608">
                  <c:v>-9.6338469252406487</c:v>
                </c:pt>
                <c:pt idx="609">
                  <c:v>-9.6443444702725234</c:v>
                </c:pt>
                <c:pt idx="610">
                  <c:v>-9.6548420203699159</c:v>
                </c:pt>
                <c:pt idx="611">
                  <c:v>-9.6653395755326397</c:v>
                </c:pt>
                <c:pt idx="612">
                  <c:v>-9.67583713576051</c:v>
                </c:pt>
                <c:pt idx="613">
                  <c:v>-9.6863347010533438</c:v>
                </c:pt>
                <c:pt idx="614">
                  <c:v>-9.6968322714109565</c:v>
                </c:pt>
                <c:pt idx="615">
                  <c:v>-9.7073298468331632</c:v>
                </c:pt>
                <c:pt idx="616">
                  <c:v>-9.7178274273197793</c:v>
                </c:pt>
                <c:pt idx="617">
                  <c:v>-9.72832501287062</c:v>
                </c:pt>
                <c:pt idx="618">
                  <c:v>-9.7388226034855023</c:v>
                </c:pt>
                <c:pt idx="619">
                  <c:v>-9.7493201991642415</c:v>
                </c:pt>
                <c:pt idx="620">
                  <c:v>-9.7598177999066529</c:v>
                </c:pt>
                <c:pt idx="621">
                  <c:v>-9.7703154057125516</c:v>
                </c:pt>
                <c:pt idx="622">
                  <c:v>-9.7808130165817531</c:v>
                </c:pt>
                <c:pt idx="623">
                  <c:v>-9.7913106325140742</c:v>
                </c:pt>
                <c:pt idx="624">
                  <c:v>-9.8018082535093285</c:v>
                </c:pt>
                <c:pt idx="625">
                  <c:v>-9.812305879567333</c:v>
                </c:pt>
                <c:pt idx="626">
                  <c:v>-9.822803510687903</c:v>
                </c:pt>
                <c:pt idx="627">
                  <c:v>-9.8333011468708555</c:v>
                </c:pt>
                <c:pt idx="628">
                  <c:v>-9.8437987881160041</c:v>
                </c:pt>
                <c:pt idx="629">
                  <c:v>-9.8542964344231656</c:v>
                </c:pt>
                <c:pt idx="630">
                  <c:v>-9.8647940857921554</c:v>
                </c:pt>
                <c:pt idx="631">
                  <c:v>-9.8752917422227888</c:v>
                </c:pt>
                <c:pt idx="632">
                  <c:v>-9.885789403714881</c:v>
                </c:pt>
                <c:pt idx="633">
                  <c:v>-9.8962870702682491</c:v>
                </c:pt>
                <c:pt idx="634">
                  <c:v>-9.9067847418827082</c:v>
                </c:pt>
                <c:pt idx="635">
                  <c:v>-9.9172824185580737</c:v>
                </c:pt>
                <c:pt idx="636">
                  <c:v>-9.9277801002941608</c:v>
                </c:pt>
                <c:pt idx="637">
                  <c:v>-9.9382777870907848</c:v>
                </c:pt>
                <c:pt idx="638">
                  <c:v>-9.9487754789477627</c:v>
                </c:pt>
                <c:pt idx="639">
                  <c:v>-9.9592731758649098</c:v>
                </c:pt>
                <c:pt idx="640">
                  <c:v>-9.9697708778420413</c:v>
                </c:pt>
                <c:pt idx="641">
                  <c:v>-9.9802685848789725</c:v>
                </c:pt>
                <c:pt idx="642">
                  <c:v>-9.9907662969755187</c:v>
                </c:pt>
                <c:pt idx="643">
                  <c:v>-10.001264014131497</c:v>
                </c:pt>
                <c:pt idx="644">
                  <c:v>-10.011761736346722</c:v>
                </c:pt>
                <c:pt idx="645">
                  <c:v>-10.02225946362101</c:v>
                </c:pt>
                <c:pt idx="646">
                  <c:v>-10.032757195954177</c:v>
                </c:pt>
                <c:pt idx="647">
                  <c:v>-10.043254933346038</c:v>
                </c:pt>
                <c:pt idx="648">
                  <c:v>-10.053752675796408</c:v>
                </c:pt>
                <c:pt idx="649">
                  <c:v>-10.064250423305104</c:v>
                </c:pt>
                <c:pt idx="650">
                  <c:v>-10.074748175871942</c:v>
                </c:pt>
                <c:pt idx="651">
                  <c:v>-10.085245933496736</c:v>
                </c:pt>
                <c:pt idx="652">
                  <c:v>-10.095743696179303</c:v>
                </c:pt>
                <c:pt idx="653">
                  <c:v>-10.106241463919458</c:v>
                </c:pt>
                <c:pt idx="654">
                  <c:v>-10.116739236717017</c:v>
                </c:pt>
                <c:pt idx="655">
                  <c:v>-10.127237014571795</c:v>
                </c:pt>
                <c:pt idx="656">
                  <c:v>-10.13773479748361</c:v>
                </c:pt>
                <c:pt idx="657">
                  <c:v>-10.148232585452275</c:v>
                </c:pt>
                <c:pt idx="658">
                  <c:v>-10.158730378477607</c:v>
                </c:pt>
                <c:pt idx="659">
                  <c:v>-10.169228176559422</c:v>
                </c:pt>
                <c:pt idx="660">
                  <c:v>-10.179725979697533</c:v>
                </c:pt>
                <c:pt idx="661">
                  <c:v>-10.190223787891759</c:v>
                </c:pt>
                <c:pt idx="662">
                  <c:v>-10.200721601141915</c:v>
                </c:pt>
                <c:pt idx="663">
                  <c:v>-10.211219419447815</c:v>
                </c:pt>
                <c:pt idx="664">
                  <c:v>-10.221717242809277</c:v>
                </c:pt>
                <c:pt idx="665">
                  <c:v>-10.232215071226115</c:v>
                </c:pt>
                <c:pt idx="666">
                  <c:v>-10.242712904698147</c:v>
                </c:pt>
                <c:pt idx="667">
                  <c:v>-10.253210743225186</c:v>
                </c:pt>
                <c:pt idx="668">
                  <c:v>-10.263708586807049</c:v>
                </c:pt>
                <c:pt idx="669">
                  <c:v>-10.274206435443551</c:v>
                </c:pt>
                <c:pt idx="670">
                  <c:v>-10.28470428913451</c:v>
                </c:pt>
                <c:pt idx="671">
                  <c:v>-10.295202147879738</c:v>
                </c:pt>
                <c:pt idx="672">
                  <c:v>-10.305700011679054</c:v>
                </c:pt>
                <c:pt idx="673">
                  <c:v>-10.316197880532272</c:v>
                </c:pt>
                <c:pt idx="674">
                  <c:v>-10.326695754439209</c:v>
                </c:pt>
                <c:pt idx="675">
                  <c:v>-10.33719363339968</c:v>
                </c:pt>
                <c:pt idx="676">
                  <c:v>-10.347691517413502</c:v>
                </c:pt>
                <c:pt idx="677">
                  <c:v>-10.358189406480488</c:v>
                </c:pt>
                <c:pt idx="678">
                  <c:v>-10.368687300600456</c:v>
                </c:pt>
                <c:pt idx="679">
                  <c:v>-10.379185199773222</c:v>
                </c:pt>
                <c:pt idx="680">
                  <c:v>-10.3896831039986</c:v>
                </c:pt>
                <c:pt idx="681">
                  <c:v>-10.400181013276406</c:v>
                </c:pt>
                <c:pt idx="682">
                  <c:v>-10.410678927606456</c:v>
                </c:pt>
                <c:pt idx="683">
                  <c:v>-10.421176846988567</c:v>
                </c:pt>
                <c:pt idx="684">
                  <c:v>-10.431674771422554</c:v>
                </c:pt>
                <c:pt idx="685">
                  <c:v>-10.442172700908232</c:v>
                </c:pt>
                <c:pt idx="686">
                  <c:v>-10.452670635445418</c:v>
                </c:pt>
                <c:pt idx="687">
                  <c:v>-10.463168575033928</c:v>
                </c:pt>
                <c:pt idx="688">
                  <c:v>-10.473666519673577</c:v>
                </c:pt>
                <c:pt idx="689">
                  <c:v>-10.484164469364179</c:v>
                </c:pt>
                <c:pt idx="690">
                  <c:v>-10.494662424105554</c:v>
                </c:pt>
                <c:pt idx="691">
                  <c:v>-10.505160383897515</c:v>
                </c:pt>
                <c:pt idx="692">
                  <c:v>-10.515658348739878</c:v>
                </c:pt>
                <c:pt idx="693">
                  <c:v>-10.526156318632459</c:v>
                </c:pt>
                <c:pt idx="694">
                  <c:v>-10.536654293575074</c:v>
                </c:pt>
                <c:pt idx="695">
                  <c:v>-10.547152273567539</c:v>
                </c:pt>
                <c:pt idx="696">
                  <c:v>-10.557650258609669</c:v>
                </c:pt>
                <c:pt idx="697">
                  <c:v>-10.568148248701281</c:v>
                </c:pt>
                <c:pt idx="698">
                  <c:v>-10.578646243842188</c:v>
                </c:pt>
                <c:pt idx="699">
                  <c:v>-10.589144244032209</c:v>
                </c:pt>
                <c:pt idx="700">
                  <c:v>-10.599642249271159</c:v>
                </c:pt>
                <c:pt idx="701">
                  <c:v>-10.610140259558854</c:v>
                </c:pt>
                <c:pt idx="702">
                  <c:v>-10.620638274895109</c:v>
                </c:pt>
                <c:pt idx="703">
                  <c:v>-10.63113629527974</c:v>
                </c:pt>
                <c:pt idx="704">
                  <c:v>-10.641634320712564</c:v>
                </c:pt>
                <c:pt idx="705">
                  <c:v>-10.652132351193394</c:v>
                </c:pt>
                <c:pt idx="706">
                  <c:v>-10.66263038672205</c:v>
                </c:pt>
                <c:pt idx="707">
                  <c:v>-10.673128427298344</c:v>
                </c:pt>
                <c:pt idx="708">
                  <c:v>-10.683626472922095</c:v>
                </c:pt>
                <c:pt idx="709">
                  <c:v>-10.694124523593116</c:v>
                </c:pt>
                <c:pt idx="710">
                  <c:v>-10.704622579311224</c:v>
                </c:pt>
                <c:pt idx="711">
                  <c:v>-10.715120640076234</c:v>
                </c:pt>
                <c:pt idx="712">
                  <c:v>-10.725618705887964</c:v>
                </c:pt>
                <c:pt idx="713">
                  <c:v>-10.736116776746229</c:v>
                </c:pt>
                <c:pt idx="714">
                  <c:v>-10.746614852650845</c:v>
                </c:pt>
                <c:pt idx="715">
                  <c:v>-10.757112933601627</c:v>
                </c:pt>
                <c:pt idx="716">
                  <c:v>-10.767611019598391</c:v>
                </c:pt>
                <c:pt idx="717">
                  <c:v>-10.778109110640953</c:v>
                </c:pt>
                <c:pt idx="718">
                  <c:v>-10.788607206729129</c:v>
                </c:pt>
                <c:pt idx="719">
                  <c:v>-10.799105307862735</c:v>
                </c:pt>
                <c:pt idx="720">
                  <c:v>-10.809603414041588</c:v>
                </c:pt>
                <c:pt idx="721">
                  <c:v>-10.820101525265502</c:v>
                </c:pt>
                <c:pt idx="722">
                  <c:v>-10.830599641534292</c:v>
                </c:pt>
                <c:pt idx="723">
                  <c:v>-10.841097762847776</c:v>
                </c:pt>
                <c:pt idx="724">
                  <c:v>-10.85159588920577</c:v>
                </c:pt>
                <c:pt idx="725">
                  <c:v>-10.862094020608088</c:v>
                </c:pt>
                <c:pt idx="726">
                  <c:v>-10.872592157054548</c:v>
                </c:pt>
                <c:pt idx="727">
                  <c:v>-10.883090298544966</c:v>
                </c:pt>
                <c:pt idx="728">
                  <c:v>-10.893588445079155</c:v>
                </c:pt>
                <c:pt idx="729">
                  <c:v>-10.904086596656933</c:v>
                </c:pt>
                <c:pt idx="730">
                  <c:v>-10.914584753278117</c:v>
                </c:pt>
                <c:pt idx="731">
                  <c:v>-10.925082914942521</c:v>
                </c:pt>
                <c:pt idx="732">
                  <c:v>-10.935581081649962</c:v>
                </c:pt>
                <c:pt idx="733">
                  <c:v>-10.946079253400255</c:v>
                </c:pt>
                <c:pt idx="734">
                  <c:v>-10.956577430193216</c:v>
                </c:pt>
                <c:pt idx="735">
                  <c:v>-10.967075612028662</c:v>
                </c:pt>
                <c:pt idx="736">
                  <c:v>-10.977573798906407</c:v>
                </c:pt>
                <c:pt idx="737">
                  <c:v>-10.988071990826269</c:v>
                </c:pt>
                <c:pt idx="738">
                  <c:v>-10.998570187788063</c:v>
                </c:pt>
                <c:pt idx="739">
                  <c:v>-11.009068389791604</c:v>
                </c:pt>
                <c:pt idx="740">
                  <c:v>-11.019566596836711</c:v>
                </c:pt>
                <c:pt idx="741">
                  <c:v>-11.030064808923196</c:v>
                </c:pt>
                <c:pt idx="742">
                  <c:v>-11.040563026050878</c:v>
                </c:pt>
                <c:pt idx="743">
                  <c:v>-11.05106124821957</c:v>
                </c:pt>
                <c:pt idx="744">
                  <c:v>-11.061559475429091</c:v>
                </c:pt>
                <c:pt idx="745">
                  <c:v>-11.072057707679255</c:v>
                </c:pt>
                <c:pt idx="746">
                  <c:v>-11.082555944969879</c:v>
                </c:pt>
                <c:pt idx="747">
                  <c:v>-11.09305418730078</c:v>
                </c:pt>
                <c:pt idx="748">
                  <c:v>-11.103552434671771</c:v>
                </c:pt>
                <c:pt idx="749">
                  <c:v>-11.114050687082671</c:v>
                </c:pt>
                <c:pt idx="750">
                  <c:v>-11.124548944533293</c:v>
                </c:pt>
                <c:pt idx="751">
                  <c:v>-11.135047207023455</c:v>
                </c:pt>
                <c:pt idx="752">
                  <c:v>-11.145545474552971</c:v>
                </c:pt>
                <c:pt idx="753">
                  <c:v>-11.156043747121659</c:v>
                </c:pt>
                <c:pt idx="754">
                  <c:v>-11.166542024729335</c:v>
                </c:pt>
                <c:pt idx="755">
                  <c:v>-11.177040307375814</c:v>
                </c:pt>
                <c:pt idx="756">
                  <c:v>-11.187538595060911</c:v>
                </c:pt>
                <c:pt idx="757">
                  <c:v>-11.198036887784443</c:v>
                </c:pt>
                <c:pt idx="758">
                  <c:v>-11.208535185546229</c:v>
                </c:pt>
                <c:pt idx="759">
                  <c:v>-11.21903348834608</c:v>
                </c:pt>
                <c:pt idx="760">
                  <c:v>-11.229531796183814</c:v>
                </c:pt>
                <c:pt idx="761">
                  <c:v>-11.240030109059248</c:v>
                </c:pt>
                <c:pt idx="762">
                  <c:v>-11.250528426972197</c:v>
                </c:pt>
                <c:pt idx="763">
                  <c:v>-11.261026749922477</c:v>
                </c:pt>
                <c:pt idx="764">
                  <c:v>-11.271525077909905</c:v>
                </c:pt>
                <c:pt idx="765">
                  <c:v>-11.282023410934295</c:v>
                </c:pt>
                <c:pt idx="766">
                  <c:v>-11.292521748995465</c:v>
                </c:pt>
                <c:pt idx="767">
                  <c:v>-11.303020092093231</c:v>
                </c:pt>
                <c:pt idx="768">
                  <c:v>-11.313518440227407</c:v>
                </c:pt>
                <c:pt idx="769">
                  <c:v>-11.32401679339781</c:v>
                </c:pt>
                <c:pt idx="770">
                  <c:v>-11.334515151604258</c:v>
                </c:pt>
                <c:pt idx="771">
                  <c:v>-11.345013514846563</c:v>
                </c:pt>
                <c:pt idx="772">
                  <c:v>-11.355511883124546</c:v>
                </c:pt>
                <c:pt idx="773">
                  <c:v>-11.366010256438019</c:v>
                </c:pt>
                <c:pt idx="774">
                  <c:v>-11.376508634786799</c:v>
                </c:pt>
                <c:pt idx="775">
                  <c:v>-11.387007018170703</c:v>
                </c:pt>
                <c:pt idx="776">
                  <c:v>-11.397505406589547</c:v>
                </c:pt>
                <c:pt idx="777">
                  <c:v>-11.408003800043145</c:v>
                </c:pt>
                <c:pt idx="778">
                  <c:v>-11.418502198531316</c:v>
                </c:pt>
                <c:pt idx="779">
                  <c:v>-11.429000602053874</c:v>
                </c:pt>
                <c:pt idx="780">
                  <c:v>-11.439499010610636</c:v>
                </c:pt>
                <c:pt idx="781">
                  <c:v>-11.449997424201417</c:v>
                </c:pt>
                <c:pt idx="782">
                  <c:v>-11.460495842826035</c:v>
                </c:pt>
                <c:pt idx="783">
                  <c:v>-11.470994266484304</c:v>
                </c:pt>
                <c:pt idx="784">
                  <c:v>-11.481492695176041</c:v>
                </c:pt>
                <c:pt idx="785">
                  <c:v>-11.491991128901061</c:v>
                </c:pt>
                <c:pt idx="786">
                  <c:v>-11.502489567659181</c:v>
                </c:pt>
                <c:pt idx="787">
                  <c:v>-11.512988011450217</c:v>
                </c:pt>
                <c:pt idx="788">
                  <c:v>-11.523486460273986</c:v>
                </c:pt>
                <c:pt idx="789">
                  <c:v>-11.533984914130302</c:v>
                </c:pt>
                <c:pt idx="790">
                  <c:v>-11.544483373018984</c:v>
                </c:pt>
                <c:pt idx="791">
                  <c:v>-11.554981836939845</c:v>
                </c:pt>
                <c:pt idx="792">
                  <c:v>-11.565480305892702</c:v>
                </c:pt>
                <c:pt idx="793">
                  <c:v>-11.575978779877373</c:v>
                </c:pt>
                <c:pt idx="794">
                  <c:v>-11.586477258893671</c:v>
                </c:pt>
                <c:pt idx="795">
                  <c:v>-11.596975742941416</c:v>
                </c:pt>
                <c:pt idx="796">
                  <c:v>-11.607474232020421</c:v>
                </c:pt>
                <c:pt idx="797">
                  <c:v>-11.617972726130501</c:v>
                </c:pt>
                <c:pt idx="798">
                  <c:v>-11.628471225271475</c:v>
                </c:pt>
                <c:pt idx="799">
                  <c:v>-11.63896972944316</c:v>
                </c:pt>
                <c:pt idx="800">
                  <c:v>-11.649468238645369</c:v>
                </c:pt>
                <c:pt idx="801">
                  <c:v>-11.659966752877919</c:v>
                </c:pt>
                <c:pt idx="802">
                  <c:v>-11.670465272140627</c:v>
                </c:pt>
                <c:pt idx="803">
                  <c:v>-11.680963796433307</c:v>
                </c:pt>
                <c:pt idx="804">
                  <c:v>-11.691462325755777</c:v>
                </c:pt>
                <c:pt idx="805">
                  <c:v>-11.701960860107853</c:v>
                </c:pt>
                <c:pt idx="806">
                  <c:v>-11.712459399489351</c:v>
                </c:pt>
                <c:pt idx="807">
                  <c:v>-11.722957943900086</c:v>
                </c:pt>
                <c:pt idx="808">
                  <c:v>-11.733456493339876</c:v>
                </c:pt>
                <c:pt idx="809">
                  <c:v>-11.743955047808537</c:v>
                </c:pt>
                <c:pt idx="810">
                  <c:v>-11.754453607305884</c:v>
                </c:pt>
                <c:pt idx="811">
                  <c:v>-11.764952171831734</c:v>
                </c:pt>
                <c:pt idx="812">
                  <c:v>-11.775450741385901</c:v>
                </c:pt>
                <c:pt idx="813">
                  <c:v>-11.785949315968205</c:v>
                </c:pt>
                <c:pt idx="814">
                  <c:v>-11.796447895578458</c:v>
                </c:pt>
                <c:pt idx="815">
                  <c:v>-11.80694648021648</c:v>
                </c:pt>
                <c:pt idx="816">
                  <c:v>-11.817445069882083</c:v>
                </c:pt>
                <c:pt idx="817">
                  <c:v>-11.827943664575088</c:v>
                </c:pt>
                <c:pt idx="818">
                  <c:v>-11.838442264295306</c:v>
                </c:pt>
                <c:pt idx="819">
                  <c:v>-11.848940869042558</c:v>
                </c:pt>
                <c:pt idx="820">
                  <c:v>-11.859439478816656</c:v>
                </c:pt>
                <c:pt idx="821">
                  <c:v>-11.869938093617419</c:v>
                </c:pt>
                <c:pt idx="822">
                  <c:v>-11.880436713444661</c:v>
                </c:pt>
                <c:pt idx="823">
                  <c:v>-11.890935338298201</c:v>
                </c:pt>
                <c:pt idx="824">
                  <c:v>-11.901433968177853</c:v>
                </c:pt>
                <c:pt idx="825">
                  <c:v>-11.911932603083434</c:v>
                </c:pt>
                <c:pt idx="826">
                  <c:v>-11.92243124301476</c:v>
                </c:pt>
                <c:pt idx="827">
                  <c:v>-11.932929887971646</c:v>
                </c:pt>
                <c:pt idx="828">
                  <c:v>-11.94342853795391</c:v>
                </c:pt>
                <c:pt idx="829">
                  <c:v>-11.953927192961368</c:v>
                </c:pt>
                <c:pt idx="830">
                  <c:v>-11.964425852993834</c:v>
                </c:pt>
                <c:pt idx="831">
                  <c:v>-11.974924518051127</c:v>
                </c:pt>
                <c:pt idx="832">
                  <c:v>-11.985423188133062</c:v>
                </c:pt>
                <c:pt idx="833">
                  <c:v>-11.995921863239454</c:v>
                </c:pt>
                <c:pt idx="834">
                  <c:v>-12.006420543370123</c:v>
                </c:pt>
                <c:pt idx="835">
                  <c:v>-12.01691922852488</c:v>
                </c:pt>
                <c:pt idx="836">
                  <c:v>-12.027417918703545</c:v>
                </c:pt>
                <c:pt idx="837">
                  <c:v>-12.037916613905933</c:v>
                </c:pt>
                <c:pt idx="838">
                  <c:v>-12.04841531413186</c:v>
                </c:pt>
                <c:pt idx="839">
                  <c:v>-12.058914019381143</c:v>
                </c:pt>
                <c:pt idx="840">
                  <c:v>-12.069412729653598</c:v>
                </c:pt>
                <c:pt idx="841">
                  <c:v>-12.07991144494904</c:v>
                </c:pt>
                <c:pt idx="842">
                  <c:v>-12.090410165267286</c:v>
                </c:pt>
                <c:pt idx="843">
                  <c:v>-12.100908890608153</c:v>
                </c:pt>
                <c:pt idx="844">
                  <c:v>-12.111407620971457</c:v>
                </c:pt>
                <c:pt idx="845">
                  <c:v>-12.121906356357014</c:v>
                </c:pt>
                <c:pt idx="846">
                  <c:v>-12.132405096764639</c:v>
                </c:pt>
                <c:pt idx="847">
                  <c:v>-12.14290384219415</c:v>
                </c:pt>
                <c:pt idx="848">
                  <c:v>-12.153402592645362</c:v>
                </c:pt>
                <c:pt idx="849">
                  <c:v>-12.163901348118092</c:v>
                </c:pt>
                <c:pt idx="850">
                  <c:v>-12.174400108612156</c:v>
                </c:pt>
                <c:pt idx="851">
                  <c:v>-12.18489887412737</c:v>
                </c:pt>
                <c:pt idx="852">
                  <c:v>-12.195397644663551</c:v>
                </c:pt>
                <c:pt idx="853">
                  <c:v>-12.205896420220515</c:v>
                </c:pt>
                <c:pt idx="854">
                  <c:v>-12.216395200798079</c:v>
                </c:pt>
                <c:pt idx="855">
                  <c:v>-12.226893986396057</c:v>
                </c:pt>
                <c:pt idx="856">
                  <c:v>-12.237392777014266</c:v>
                </c:pt>
                <c:pt idx="857">
                  <c:v>-12.247891572652524</c:v>
                </c:pt>
                <c:pt idx="858">
                  <c:v>-12.258390373310645</c:v>
                </c:pt>
                <c:pt idx="859">
                  <c:v>-12.268889178988447</c:v>
                </c:pt>
                <c:pt idx="860">
                  <c:v>-12.279387989685745</c:v>
                </c:pt>
                <c:pt idx="861">
                  <c:v>-12.289886805402356</c:v>
                </c:pt>
                <c:pt idx="862">
                  <c:v>-12.300385626138096</c:v>
                </c:pt>
                <c:pt idx="863">
                  <c:v>-12.310884451892782</c:v>
                </c:pt>
                <c:pt idx="864">
                  <c:v>-12.321383282666231</c:v>
                </c:pt>
                <c:pt idx="865">
                  <c:v>-12.331882118458257</c:v>
                </c:pt>
                <c:pt idx="866">
                  <c:v>-12.342380959268677</c:v>
                </c:pt>
                <c:pt idx="867">
                  <c:v>-12.352879805097308</c:v>
                </c:pt>
                <c:pt idx="868">
                  <c:v>-12.363378655943965</c:v>
                </c:pt>
                <c:pt idx="869">
                  <c:v>-12.373877511808466</c:v>
                </c:pt>
                <c:pt idx="870">
                  <c:v>-12.384376372690626</c:v>
                </c:pt>
                <c:pt idx="871">
                  <c:v>-12.394875238590263</c:v>
                </c:pt>
                <c:pt idx="872">
                  <c:v>-12.405374109507193</c:v>
                </c:pt>
                <c:pt idx="873">
                  <c:v>-12.415872985441231</c:v>
                </c:pt>
                <c:pt idx="874">
                  <c:v>-12.426371866392193</c:v>
                </c:pt>
                <c:pt idx="875">
                  <c:v>-12.436870752359896</c:v>
                </c:pt>
                <c:pt idx="876">
                  <c:v>-12.447369643344157</c:v>
                </c:pt>
                <c:pt idx="877">
                  <c:v>-12.457868539344791</c:v>
                </c:pt>
                <c:pt idx="878">
                  <c:v>-12.468367440361614</c:v>
                </c:pt>
                <c:pt idx="879">
                  <c:v>-12.478866346394446</c:v>
                </c:pt>
                <c:pt idx="880">
                  <c:v>-12.489365257443099</c:v>
                </c:pt>
                <c:pt idx="881">
                  <c:v>-12.499864173507392</c:v>
                </c:pt>
                <c:pt idx="882">
                  <c:v>-12.51036309458714</c:v>
                </c:pt>
                <c:pt idx="883">
                  <c:v>-12.520862020682159</c:v>
                </c:pt>
                <c:pt idx="884">
                  <c:v>-12.531360951792267</c:v>
                </c:pt>
                <c:pt idx="885">
                  <c:v>-12.54185988791728</c:v>
                </c:pt>
                <c:pt idx="886">
                  <c:v>-12.552358829057013</c:v>
                </c:pt>
                <c:pt idx="887">
                  <c:v>-12.562857775211285</c:v>
                </c:pt>
                <c:pt idx="888">
                  <c:v>-12.57335672637991</c:v>
                </c:pt>
                <c:pt idx="889">
                  <c:v>-12.583855682562703</c:v>
                </c:pt>
                <c:pt idx="890">
                  <c:v>-12.594354643759484</c:v>
                </c:pt>
                <c:pt idx="891">
                  <c:v>-12.604853609970068</c:v>
                </c:pt>
                <c:pt idx="892">
                  <c:v>-12.615352581194269</c:v>
                </c:pt>
                <c:pt idx="893">
                  <c:v>-12.625851557431906</c:v>
                </c:pt>
                <c:pt idx="894">
                  <c:v>-12.636350538682795</c:v>
                </c:pt>
                <c:pt idx="895">
                  <c:v>-12.646849524946751</c:v>
                </c:pt>
                <c:pt idx="896">
                  <c:v>-12.657348516223593</c:v>
                </c:pt>
                <c:pt idx="897">
                  <c:v>-12.667847512513134</c:v>
                </c:pt>
                <c:pt idx="898">
                  <c:v>-12.678346513815194</c:v>
                </c:pt>
                <c:pt idx="899">
                  <c:v>-12.688845520129588</c:v>
                </c:pt>
                <c:pt idx="900">
                  <c:v>-12.699344531456131</c:v>
                </c:pt>
                <c:pt idx="901">
                  <c:v>-12.709843547794639</c:v>
                </c:pt>
                <c:pt idx="902">
                  <c:v>-12.720342569144931</c:v>
                </c:pt>
                <c:pt idx="903">
                  <c:v>-12.730841595506822</c:v>
                </c:pt>
                <c:pt idx="904">
                  <c:v>-12.741340626880129</c:v>
                </c:pt>
                <c:pt idx="905">
                  <c:v>-12.751839663264668</c:v>
                </c:pt>
                <c:pt idx="906">
                  <c:v>-12.762338704660255</c:v>
                </c:pt>
                <c:pt idx="907">
                  <c:v>-12.772837751066707</c:v>
                </c:pt>
                <c:pt idx="908">
                  <c:v>-12.78333680248384</c:v>
                </c:pt>
                <c:pt idx="909">
                  <c:v>-12.79383585891147</c:v>
                </c:pt>
                <c:pt idx="910">
                  <c:v>-12.804334920349413</c:v>
                </c:pt>
                <c:pt idx="911">
                  <c:v>-12.814833986797488</c:v>
                </c:pt>
                <c:pt idx="912">
                  <c:v>-12.825333058255509</c:v>
                </c:pt>
                <c:pt idx="913">
                  <c:v>-12.835832134723294</c:v>
                </c:pt>
                <c:pt idx="914">
                  <c:v>-12.846331216200658</c:v>
                </c:pt>
                <c:pt idx="915">
                  <c:v>-12.856830302687419</c:v>
                </c:pt>
                <c:pt idx="916">
                  <c:v>-12.867329394183391</c:v>
                </c:pt>
                <c:pt idx="917">
                  <c:v>-12.877828490688394</c:v>
                </c:pt>
                <c:pt idx="918">
                  <c:v>-12.888327592202241</c:v>
                </c:pt>
                <c:pt idx="919">
                  <c:v>-12.898826698724751</c:v>
                </c:pt>
                <c:pt idx="920">
                  <c:v>-12.909325810255739</c:v>
                </c:pt>
                <c:pt idx="921">
                  <c:v>-12.919824926795021</c:v>
                </c:pt>
                <c:pt idx="922">
                  <c:v>-12.930324048342415</c:v>
                </c:pt>
                <c:pt idx="923">
                  <c:v>-12.940823174897737</c:v>
                </c:pt>
                <c:pt idx="924">
                  <c:v>-12.951322306460803</c:v>
                </c:pt>
                <c:pt idx="925">
                  <c:v>-12.961821443031429</c:v>
                </c:pt>
                <c:pt idx="926">
                  <c:v>-12.972320584609433</c:v>
                </c:pt>
                <c:pt idx="927">
                  <c:v>-12.982819731194629</c:v>
                </c:pt>
                <c:pt idx="928">
                  <c:v>-12.993318882786836</c:v>
                </c:pt>
                <c:pt idx="929">
                  <c:v>-13.00381803938587</c:v>
                </c:pt>
                <c:pt idx="930">
                  <c:v>-13.014317200991545</c:v>
                </c:pt>
                <c:pt idx="931">
                  <c:v>-13.024816367603682</c:v>
                </c:pt>
                <c:pt idx="932">
                  <c:v>-13.035315539222093</c:v>
                </c:pt>
                <c:pt idx="933">
                  <c:v>-13.045814715846598</c:v>
                </c:pt>
                <c:pt idx="934">
                  <c:v>-13.056313897477011</c:v>
                </c:pt>
                <c:pt idx="935">
                  <c:v>-13.06681308411315</c:v>
                </c:pt>
                <c:pt idx="936">
                  <c:v>-13.07731227575483</c:v>
                </c:pt>
                <c:pt idx="937">
                  <c:v>-13.087811472401869</c:v>
                </c:pt>
                <c:pt idx="938">
                  <c:v>-13.098310674054082</c:v>
                </c:pt>
                <c:pt idx="939">
                  <c:v>-13.108809880711286</c:v>
                </c:pt>
                <c:pt idx="940">
                  <c:v>-13.119309092373298</c:v>
                </c:pt>
                <c:pt idx="941">
                  <c:v>-13.129808309039934</c:v>
                </c:pt>
                <c:pt idx="942">
                  <c:v>-13.140307530711011</c:v>
                </c:pt>
                <c:pt idx="943">
                  <c:v>-13.150806757386347</c:v>
                </c:pt>
                <c:pt idx="944">
                  <c:v>-13.161305989065756</c:v>
                </c:pt>
                <c:pt idx="945">
                  <c:v>-13.171805225749056</c:v>
                </c:pt>
                <c:pt idx="946">
                  <c:v>-13.182304467436062</c:v>
                </c:pt>
                <c:pt idx="947">
                  <c:v>-13.19280371412659</c:v>
                </c:pt>
                <c:pt idx="948">
                  <c:v>-13.203302965820459</c:v>
                </c:pt>
                <c:pt idx="949">
                  <c:v>-13.213802222517485</c:v>
                </c:pt>
                <c:pt idx="950">
                  <c:v>-13.224301484217484</c:v>
                </c:pt>
                <c:pt idx="951">
                  <c:v>-13.234800750920273</c:v>
                </c:pt>
                <c:pt idx="952">
                  <c:v>-13.245300022625669</c:v>
                </c:pt>
                <c:pt idx="953">
                  <c:v>-13.255799299333486</c:v>
                </c:pt>
                <c:pt idx="954">
                  <c:v>-13.266298581043541</c:v>
                </c:pt>
                <c:pt idx="955">
                  <c:v>-13.276797867755652</c:v>
                </c:pt>
                <c:pt idx="956">
                  <c:v>-13.287297159469636</c:v>
                </c:pt>
                <c:pt idx="957">
                  <c:v>-13.29779645618531</c:v>
                </c:pt>
                <c:pt idx="958">
                  <c:v>-13.308295757902489</c:v>
                </c:pt>
                <c:pt idx="959">
                  <c:v>-13.318795064620989</c:v>
                </c:pt>
                <c:pt idx="960">
                  <c:v>-13.329294376340627</c:v>
                </c:pt>
                <c:pt idx="961">
                  <c:v>-13.339793693061221</c:v>
                </c:pt>
                <c:pt idx="962">
                  <c:v>-13.350293014782586</c:v>
                </c:pt>
                <c:pt idx="963">
                  <c:v>-13.36079234150454</c:v>
                </c:pt>
                <c:pt idx="964">
                  <c:v>-13.371291673226898</c:v>
                </c:pt>
                <c:pt idx="965">
                  <c:v>-13.381791009949477</c:v>
                </c:pt>
                <c:pt idx="966">
                  <c:v>-13.392290351672095</c:v>
                </c:pt>
                <c:pt idx="967">
                  <c:v>-13.402789698394567</c:v>
                </c:pt>
                <c:pt idx="968">
                  <c:v>-13.41328905011671</c:v>
                </c:pt>
                <c:pt idx="969">
                  <c:v>-13.423788406838339</c:v>
                </c:pt>
                <c:pt idx="970">
                  <c:v>-13.434287768559273</c:v>
                </c:pt>
                <c:pt idx="971">
                  <c:v>-13.444787135279327</c:v>
                </c:pt>
                <c:pt idx="972">
                  <c:v>-13.45528650699832</c:v>
                </c:pt>
                <c:pt idx="973">
                  <c:v>-13.465785883716066</c:v>
                </c:pt>
                <c:pt idx="974">
                  <c:v>-13.476285265432383</c:v>
                </c:pt>
                <c:pt idx="975">
                  <c:v>-13.486784652147087</c:v>
                </c:pt>
                <c:pt idx="976">
                  <c:v>-13.497284043859995</c:v>
                </c:pt>
                <c:pt idx="977">
                  <c:v>-13.507783440570924</c:v>
                </c:pt>
                <c:pt idx="978">
                  <c:v>-13.518282842279689</c:v>
                </c:pt>
                <c:pt idx="979">
                  <c:v>-13.528782248986108</c:v>
                </c:pt>
                <c:pt idx="980">
                  <c:v>-13.539281660689996</c:v>
                </c:pt>
                <c:pt idx="981">
                  <c:v>-13.549781077391172</c:v>
                </c:pt>
                <c:pt idx="982">
                  <c:v>-13.560280499089451</c:v>
                </c:pt>
                <c:pt idx="983">
                  <c:v>-13.570779925784651</c:v>
                </c:pt>
                <c:pt idx="984">
                  <c:v>-13.581279357476587</c:v>
                </c:pt>
                <c:pt idx="985">
                  <c:v>-13.591778794165077</c:v>
                </c:pt>
                <c:pt idx="986">
                  <c:v>-13.602278235849935</c:v>
                </c:pt>
                <c:pt idx="987">
                  <c:v>-13.612777682530981</c:v>
                </c:pt>
                <c:pt idx="988">
                  <c:v>-13.623277134208029</c:v>
                </c:pt>
                <c:pt idx="989">
                  <c:v>-13.633776590880899</c:v>
                </c:pt>
                <c:pt idx="990">
                  <c:v>-13.644276052549404</c:v>
                </c:pt>
                <c:pt idx="991">
                  <c:v>-13.654775519213363</c:v>
                </c:pt>
                <c:pt idx="992">
                  <c:v>-13.665274990872591</c:v>
                </c:pt>
                <c:pt idx="993">
                  <c:v>-13.675774467526907</c:v>
                </c:pt>
                <c:pt idx="994">
                  <c:v>-13.686273949176124</c:v>
                </c:pt>
                <c:pt idx="995">
                  <c:v>-13.696773435820061</c:v>
                </c:pt>
                <c:pt idx="996">
                  <c:v>-13.707272927458535</c:v>
                </c:pt>
                <c:pt idx="997">
                  <c:v>-13.717772424091361</c:v>
                </c:pt>
                <c:pt idx="998">
                  <c:v>-13.728271925718358</c:v>
                </c:pt>
                <c:pt idx="999">
                  <c:v>-13.738771432339341</c:v>
                </c:pt>
                <c:pt idx="1000">
                  <c:v>-13.749270943954127</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15.5</c:v>
                </c:pt>
                <c:pt idx="1">
                  <c:v>90.531500054732632</c:v>
                </c:pt>
                <c:pt idx="2">
                  <c:v>165.56300010946526</c:v>
                </c:pt>
                <c:pt idx="3">
                  <c:v>164.06752153008631</c:v>
                </c:pt>
                <c:pt idx="4">
                  <c:v>165.56300010946526</c:v>
                </c:pt>
                <c:pt idx="5">
                  <c:v>160.3875215300863</c:v>
                </c:pt>
                <c:pt idx="6">
                  <c:v>165.56300010946526</c:v>
                </c:pt>
              </c:numCache>
            </c:numRef>
          </c:xVal>
          <c:yVal>
            <c:numRef>
              <c:f>Trajecto!$C$132:$C$138</c:f>
              <c:numCache>
                <c:formatCode>0</c:formatCode>
                <c:ptCount val="7"/>
                <c:pt idx="0">
                  <c:v>1495.4279870293822</c:v>
                </c:pt>
                <c:pt idx="1">
                  <c:v>747.71399351469108</c:v>
                </c:pt>
                <c:pt idx="2">
                  <c:v>0</c:v>
                </c:pt>
                <c:pt idx="3">
                  <c:v>48.309394629682146</c:v>
                </c:pt>
                <c:pt idx="4">
                  <c:v>0</c:v>
                </c:pt>
                <c:pt idx="5">
                  <c:v>18.177979794119778</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0</c:v>
                </c:pt>
                <c:pt idx="1">
                  <c:v>0</c:v>
                </c:pt>
                <c:pt idx="2">
                  <c:v>0</c:v>
                </c:pt>
                <c:pt idx="3">
                  <c:v>0</c:v>
                </c:pt>
                <c:pt idx="4">
                  <c:v>0</c:v>
                </c:pt>
                <c:pt idx="5">
                  <c:v>0</c:v>
                </c:pt>
                <c:pt idx="6">
                  <c:v>0</c:v>
                </c:pt>
              </c:numCache>
            </c:numRef>
          </c:xVal>
          <c:yVal>
            <c:numRef>
              <c:f>Trajecto!$C$149:$C$155</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35.100000000000186</c:v>
                </c:pt>
                <c:pt idx="500">
                  <c:v>35.200000000000188</c:v>
                </c:pt>
                <c:pt idx="501">
                  <c:v>35.300000000000189</c:v>
                </c:pt>
                <c:pt idx="502">
                  <c:v>35.40000000000019</c:v>
                </c:pt>
                <c:pt idx="503">
                  <c:v>35.500000000000192</c:v>
                </c:pt>
                <c:pt idx="504">
                  <c:v>35.600000000000193</c:v>
                </c:pt>
                <c:pt idx="505">
                  <c:v>35.700000000000195</c:v>
                </c:pt>
                <c:pt idx="506">
                  <c:v>35.800000000000196</c:v>
                </c:pt>
                <c:pt idx="507">
                  <c:v>35.900000000000198</c:v>
                </c:pt>
                <c:pt idx="508">
                  <c:v>36.000000000000199</c:v>
                </c:pt>
                <c:pt idx="509">
                  <c:v>36.1000000000002</c:v>
                </c:pt>
                <c:pt idx="510">
                  <c:v>36.200000000000202</c:v>
                </c:pt>
                <c:pt idx="511">
                  <c:v>36.300000000000203</c:v>
                </c:pt>
                <c:pt idx="512">
                  <c:v>36.400000000000205</c:v>
                </c:pt>
                <c:pt idx="513">
                  <c:v>36.500000000000206</c:v>
                </c:pt>
                <c:pt idx="514">
                  <c:v>36.600000000000207</c:v>
                </c:pt>
                <c:pt idx="515">
                  <c:v>36.700000000000209</c:v>
                </c:pt>
                <c:pt idx="516">
                  <c:v>36.80000000000021</c:v>
                </c:pt>
                <c:pt idx="517">
                  <c:v>36.800100000000214</c:v>
                </c:pt>
                <c:pt idx="518">
                  <c:v>36.800200000000217</c:v>
                </c:pt>
                <c:pt idx="519">
                  <c:v>36.80030000000022</c:v>
                </c:pt>
                <c:pt idx="520">
                  <c:v>36.800400000000224</c:v>
                </c:pt>
                <c:pt idx="521">
                  <c:v>36.800500000000227</c:v>
                </c:pt>
                <c:pt idx="522">
                  <c:v>36.80060000000023</c:v>
                </c:pt>
                <c:pt idx="523">
                  <c:v>36.800700000000234</c:v>
                </c:pt>
                <c:pt idx="524">
                  <c:v>36.800800000000237</c:v>
                </c:pt>
                <c:pt idx="525">
                  <c:v>36.80090000000024</c:v>
                </c:pt>
                <c:pt idx="526">
                  <c:v>36.801000000000244</c:v>
                </c:pt>
                <c:pt idx="527">
                  <c:v>36.801100000000247</c:v>
                </c:pt>
                <c:pt idx="528">
                  <c:v>36.80120000000025</c:v>
                </c:pt>
                <c:pt idx="529">
                  <c:v>36.801300000000253</c:v>
                </c:pt>
                <c:pt idx="530">
                  <c:v>36.801400000000257</c:v>
                </c:pt>
                <c:pt idx="531">
                  <c:v>36.80150000000026</c:v>
                </c:pt>
                <c:pt idx="532">
                  <c:v>36.801600000000263</c:v>
                </c:pt>
                <c:pt idx="533">
                  <c:v>36.801700000000267</c:v>
                </c:pt>
                <c:pt idx="534">
                  <c:v>36.80180000000027</c:v>
                </c:pt>
                <c:pt idx="535">
                  <c:v>36.801900000000273</c:v>
                </c:pt>
                <c:pt idx="536">
                  <c:v>36.802000000000277</c:v>
                </c:pt>
                <c:pt idx="537">
                  <c:v>36.80210000000028</c:v>
                </c:pt>
                <c:pt idx="538">
                  <c:v>36.802200000000283</c:v>
                </c:pt>
                <c:pt idx="539">
                  <c:v>36.802300000000287</c:v>
                </c:pt>
                <c:pt idx="540">
                  <c:v>36.80240000000029</c:v>
                </c:pt>
                <c:pt idx="541">
                  <c:v>36.802500000000293</c:v>
                </c:pt>
                <c:pt idx="542">
                  <c:v>36.802600000000297</c:v>
                </c:pt>
                <c:pt idx="543">
                  <c:v>36.8027000000003</c:v>
                </c:pt>
                <c:pt idx="544">
                  <c:v>36.802800000000303</c:v>
                </c:pt>
                <c:pt idx="545">
                  <c:v>36.802900000000307</c:v>
                </c:pt>
                <c:pt idx="546">
                  <c:v>36.80300000000031</c:v>
                </c:pt>
                <c:pt idx="547">
                  <c:v>36.803100000000313</c:v>
                </c:pt>
                <c:pt idx="548">
                  <c:v>36.803200000000317</c:v>
                </c:pt>
                <c:pt idx="549">
                  <c:v>36.80330000000032</c:v>
                </c:pt>
                <c:pt idx="550">
                  <c:v>36.803400000000323</c:v>
                </c:pt>
                <c:pt idx="551">
                  <c:v>36.803500000000327</c:v>
                </c:pt>
                <c:pt idx="552">
                  <c:v>36.80360000000033</c:v>
                </c:pt>
                <c:pt idx="553">
                  <c:v>36.803700000000333</c:v>
                </c:pt>
                <c:pt idx="554">
                  <c:v>36.803800000000336</c:v>
                </c:pt>
                <c:pt idx="555">
                  <c:v>36.80390000000034</c:v>
                </c:pt>
                <c:pt idx="556">
                  <c:v>36.804000000000343</c:v>
                </c:pt>
                <c:pt idx="557">
                  <c:v>36.804100000000346</c:v>
                </c:pt>
                <c:pt idx="558">
                  <c:v>36.80420000000035</c:v>
                </c:pt>
                <c:pt idx="559">
                  <c:v>36.804300000000353</c:v>
                </c:pt>
                <c:pt idx="560">
                  <c:v>36.804400000000356</c:v>
                </c:pt>
                <c:pt idx="561">
                  <c:v>36.80450000000036</c:v>
                </c:pt>
                <c:pt idx="562">
                  <c:v>36.804600000000363</c:v>
                </c:pt>
                <c:pt idx="563">
                  <c:v>36.804700000000366</c:v>
                </c:pt>
                <c:pt idx="564">
                  <c:v>36.80480000000037</c:v>
                </c:pt>
                <c:pt idx="565">
                  <c:v>36.804900000000373</c:v>
                </c:pt>
                <c:pt idx="566">
                  <c:v>36.805000000000376</c:v>
                </c:pt>
                <c:pt idx="567">
                  <c:v>36.80510000000038</c:v>
                </c:pt>
                <c:pt idx="568">
                  <c:v>36.805200000000383</c:v>
                </c:pt>
                <c:pt idx="569">
                  <c:v>36.805300000000386</c:v>
                </c:pt>
                <c:pt idx="570">
                  <c:v>36.80540000000039</c:v>
                </c:pt>
                <c:pt idx="571">
                  <c:v>36.805500000000393</c:v>
                </c:pt>
                <c:pt idx="572">
                  <c:v>36.805600000000396</c:v>
                </c:pt>
                <c:pt idx="573">
                  <c:v>36.8057000000004</c:v>
                </c:pt>
                <c:pt idx="574">
                  <c:v>36.805800000000403</c:v>
                </c:pt>
                <c:pt idx="575">
                  <c:v>36.805900000000406</c:v>
                </c:pt>
                <c:pt idx="576">
                  <c:v>36.806000000000409</c:v>
                </c:pt>
                <c:pt idx="577">
                  <c:v>36.806100000000413</c:v>
                </c:pt>
                <c:pt idx="578">
                  <c:v>36.806200000000416</c:v>
                </c:pt>
                <c:pt idx="579">
                  <c:v>36.806300000000419</c:v>
                </c:pt>
                <c:pt idx="580">
                  <c:v>36.806400000000423</c:v>
                </c:pt>
                <c:pt idx="581">
                  <c:v>36.806500000000426</c:v>
                </c:pt>
                <c:pt idx="582">
                  <c:v>36.806600000000429</c:v>
                </c:pt>
                <c:pt idx="583">
                  <c:v>36.806700000000433</c:v>
                </c:pt>
                <c:pt idx="584">
                  <c:v>36.806800000000436</c:v>
                </c:pt>
                <c:pt idx="585">
                  <c:v>36.806900000000439</c:v>
                </c:pt>
                <c:pt idx="586">
                  <c:v>36.807000000000443</c:v>
                </c:pt>
                <c:pt idx="587">
                  <c:v>36.807100000000446</c:v>
                </c:pt>
                <c:pt idx="588">
                  <c:v>36.807200000000449</c:v>
                </c:pt>
                <c:pt idx="589">
                  <c:v>36.807300000000453</c:v>
                </c:pt>
                <c:pt idx="590">
                  <c:v>36.807400000000456</c:v>
                </c:pt>
                <c:pt idx="591">
                  <c:v>36.807500000000459</c:v>
                </c:pt>
                <c:pt idx="592">
                  <c:v>36.807600000000463</c:v>
                </c:pt>
                <c:pt idx="593">
                  <c:v>36.807700000000466</c:v>
                </c:pt>
                <c:pt idx="594">
                  <c:v>36.807800000000469</c:v>
                </c:pt>
                <c:pt idx="595">
                  <c:v>36.807900000000473</c:v>
                </c:pt>
                <c:pt idx="596">
                  <c:v>36.808000000000476</c:v>
                </c:pt>
                <c:pt idx="597">
                  <c:v>36.808100000000479</c:v>
                </c:pt>
                <c:pt idx="598">
                  <c:v>36.808200000000483</c:v>
                </c:pt>
                <c:pt idx="599">
                  <c:v>36.808300000000486</c:v>
                </c:pt>
                <c:pt idx="600">
                  <c:v>36.808400000000489</c:v>
                </c:pt>
                <c:pt idx="601">
                  <c:v>36.808500000000492</c:v>
                </c:pt>
                <c:pt idx="602">
                  <c:v>36.808600000000496</c:v>
                </c:pt>
                <c:pt idx="603">
                  <c:v>36.808700000000499</c:v>
                </c:pt>
                <c:pt idx="604">
                  <c:v>36.808800000000502</c:v>
                </c:pt>
                <c:pt idx="605">
                  <c:v>36.808900000000506</c:v>
                </c:pt>
                <c:pt idx="606">
                  <c:v>36.809000000000509</c:v>
                </c:pt>
                <c:pt idx="607">
                  <c:v>36.809100000000512</c:v>
                </c:pt>
                <c:pt idx="608">
                  <c:v>36.809200000000516</c:v>
                </c:pt>
                <c:pt idx="609">
                  <c:v>36.809300000000519</c:v>
                </c:pt>
                <c:pt idx="610">
                  <c:v>36.809400000000522</c:v>
                </c:pt>
                <c:pt idx="611">
                  <c:v>36.809500000000526</c:v>
                </c:pt>
                <c:pt idx="612">
                  <c:v>36.809600000000529</c:v>
                </c:pt>
                <c:pt idx="613">
                  <c:v>36.809700000000532</c:v>
                </c:pt>
                <c:pt idx="614">
                  <c:v>36.809800000000536</c:v>
                </c:pt>
                <c:pt idx="615">
                  <c:v>36.809900000000539</c:v>
                </c:pt>
                <c:pt idx="616">
                  <c:v>36.810000000000542</c:v>
                </c:pt>
                <c:pt idx="617">
                  <c:v>36.810100000000546</c:v>
                </c:pt>
                <c:pt idx="618">
                  <c:v>36.810200000000549</c:v>
                </c:pt>
                <c:pt idx="619">
                  <c:v>36.810300000000552</c:v>
                </c:pt>
                <c:pt idx="620">
                  <c:v>36.810400000000556</c:v>
                </c:pt>
                <c:pt idx="621">
                  <c:v>36.810500000000559</c:v>
                </c:pt>
                <c:pt idx="622">
                  <c:v>36.810600000000562</c:v>
                </c:pt>
                <c:pt idx="623">
                  <c:v>36.810700000000566</c:v>
                </c:pt>
                <c:pt idx="624">
                  <c:v>36.810800000000569</c:v>
                </c:pt>
                <c:pt idx="625">
                  <c:v>36.810900000000572</c:v>
                </c:pt>
                <c:pt idx="626">
                  <c:v>36.811000000000575</c:v>
                </c:pt>
                <c:pt idx="627">
                  <c:v>36.811100000000579</c:v>
                </c:pt>
                <c:pt idx="628">
                  <c:v>36.811200000000582</c:v>
                </c:pt>
                <c:pt idx="629">
                  <c:v>36.811300000000585</c:v>
                </c:pt>
                <c:pt idx="630">
                  <c:v>36.811400000000589</c:v>
                </c:pt>
                <c:pt idx="631">
                  <c:v>36.811500000000592</c:v>
                </c:pt>
                <c:pt idx="632">
                  <c:v>36.811600000000595</c:v>
                </c:pt>
                <c:pt idx="633">
                  <c:v>36.811700000000599</c:v>
                </c:pt>
                <c:pt idx="634">
                  <c:v>36.811800000000602</c:v>
                </c:pt>
                <c:pt idx="635">
                  <c:v>36.811900000000605</c:v>
                </c:pt>
                <c:pt idx="636">
                  <c:v>36.812000000000609</c:v>
                </c:pt>
                <c:pt idx="637">
                  <c:v>36.812100000000612</c:v>
                </c:pt>
                <c:pt idx="638">
                  <c:v>36.812200000000615</c:v>
                </c:pt>
                <c:pt idx="639">
                  <c:v>36.812300000000619</c:v>
                </c:pt>
                <c:pt idx="640">
                  <c:v>36.812400000000622</c:v>
                </c:pt>
                <c:pt idx="641">
                  <c:v>36.812500000000625</c:v>
                </c:pt>
                <c:pt idx="642">
                  <c:v>36.812600000000629</c:v>
                </c:pt>
                <c:pt idx="643">
                  <c:v>36.812700000000632</c:v>
                </c:pt>
                <c:pt idx="644">
                  <c:v>36.812800000000635</c:v>
                </c:pt>
                <c:pt idx="645">
                  <c:v>36.812900000000639</c:v>
                </c:pt>
                <c:pt idx="646">
                  <c:v>36.813000000000642</c:v>
                </c:pt>
                <c:pt idx="647">
                  <c:v>36.813100000000645</c:v>
                </c:pt>
                <c:pt idx="648">
                  <c:v>36.813200000000649</c:v>
                </c:pt>
                <c:pt idx="649">
                  <c:v>36.813300000000652</c:v>
                </c:pt>
                <c:pt idx="650">
                  <c:v>36.813400000000655</c:v>
                </c:pt>
                <c:pt idx="651">
                  <c:v>36.813500000000658</c:v>
                </c:pt>
                <c:pt idx="652">
                  <c:v>36.813600000000662</c:v>
                </c:pt>
                <c:pt idx="653">
                  <c:v>36.813700000000665</c:v>
                </c:pt>
                <c:pt idx="654">
                  <c:v>36.813800000000668</c:v>
                </c:pt>
                <c:pt idx="655">
                  <c:v>36.813900000000672</c:v>
                </c:pt>
                <c:pt idx="656">
                  <c:v>36.814000000000675</c:v>
                </c:pt>
                <c:pt idx="657">
                  <c:v>36.814100000000678</c:v>
                </c:pt>
                <c:pt idx="658">
                  <c:v>36.814200000000682</c:v>
                </c:pt>
                <c:pt idx="659">
                  <c:v>36.814300000000685</c:v>
                </c:pt>
                <c:pt idx="660">
                  <c:v>36.814400000000688</c:v>
                </c:pt>
                <c:pt idx="661">
                  <c:v>36.814500000000692</c:v>
                </c:pt>
                <c:pt idx="662">
                  <c:v>36.814600000000695</c:v>
                </c:pt>
                <c:pt idx="663">
                  <c:v>36.814700000000698</c:v>
                </c:pt>
                <c:pt idx="664">
                  <c:v>36.814800000000702</c:v>
                </c:pt>
                <c:pt idx="665">
                  <c:v>36.814900000000705</c:v>
                </c:pt>
                <c:pt idx="666">
                  <c:v>36.815000000000708</c:v>
                </c:pt>
                <c:pt idx="667">
                  <c:v>36.815100000000712</c:v>
                </c:pt>
                <c:pt idx="668">
                  <c:v>36.815200000000715</c:v>
                </c:pt>
                <c:pt idx="669">
                  <c:v>36.815300000000718</c:v>
                </c:pt>
                <c:pt idx="670">
                  <c:v>36.815400000000722</c:v>
                </c:pt>
                <c:pt idx="671">
                  <c:v>36.815500000000725</c:v>
                </c:pt>
                <c:pt idx="672">
                  <c:v>36.815600000000728</c:v>
                </c:pt>
                <c:pt idx="673">
                  <c:v>36.815700000000732</c:v>
                </c:pt>
                <c:pt idx="674">
                  <c:v>36.815800000000735</c:v>
                </c:pt>
                <c:pt idx="675">
                  <c:v>36.815900000000738</c:v>
                </c:pt>
                <c:pt idx="676">
                  <c:v>36.816000000000741</c:v>
                </c:pt>
                <c:pt idx="677">
                  <c:v>36.816100000000745</c:v>
                </c:pt>
                <c:pt idx="678">
                  <c:v>36.816200000000748</c:v>
                </c:pt>
                <c:pt idx="679">
                  <c:v>36.816300000000751</c:v>
                </c:pt>
                <c:pt idx="680">
                  <c:v>36.816400000000755</c:v>
                </c:pt>
                <c:pt idx="681">
                  <c:v>36.816500000000758</c:v>
                </c:pt>
                <c:pt idx="682">
                  <c:v>36.816600000000761</c:v>
                </c:pt>
                <c:pt idx="683">
                  <c:v>36.816700000000765</c:v>
                </c:pt>
                <c:pt idx="684">
                  <c:v>36.816800000000768</c:v>
                </c:pt>
                <c:pt idx="685">
                  <c:v>36.816900000000771</c:v>
                </c:pt>
                <c:pt idx="686">
                  <c:v>36.817000000000775</c:v>
                </c:pt>
                <c:pt idx="687">
                  <c:v>36.817100000000778</c:v>
                </c:pt>
                <c:pt idx="688">
                  <c:v>36.817200000000781</c:v>
                </c:pt>
                <c:pt idx="689">
                  <c:v>36.817300000000785</c:v>
                </c:pt>
                <c:pt idx="690">
                  <c:v>36.817400000000788</c:v>
                </c:pt>
                <c:pt idx="691">
                  <c:v>36.817500000000791</c:v>
                </c:pt>
                <c:pt idx="692">
                  <c:v>36.817600000000795</c:v>
                </c:pt>
                <c:pt idx="693">
                  <c:v>36.817700000000798</c:v>
                </c:pt>
                <c:pt idx="694">
                  <c:v>36.817800000000801</c:v>
                </c:pt>
                <c:pt idx="695">
                  <c:v>36.817900000000805</c:v>
                </c:pt>
                <c:pt idx="696">
                  <c:v>36.818000000000808</c:v>
                </c:pt>
                <c:pt idx="697">
                  <c:v>36.818100000000811</c:v>
                </c:pt>
                <c:pt idx="698">
                  <c:v>36.818200000000814</c:v>
                </c:pt>
                <c:pt idx="699">
                  <c:v>36.818300000000818</c:v>
                </c:pt>
                <c:pt idx="700">
                  <c:v>36.818400000000821</c:v>
                </c:pt>
                <c:pt idx="701">
                  <c:v>36.818500000000824</c:v>
                </c:pt>
                <c:pt idx="702">
                  <c:v>36.818600000000828</c:v>
                </c:pt>
                <c:pt idx="703">
                  <c:v>36.818700000000831</c:v>
                </c:pt>
                <c:pt idx="704">
                  <c:v>36.818800000000834</c:v>
                </c:pt>
                <c:pt idx="705">
                  <c:v>36.818900000000838</c:v>
                </c:pt>
                <c:pt idx="706">
                  <c:v>36.819000000000841</c:v>
                </c:pt>
                <c:pt idx="707">
                  <c:v>36.819100000000844</c:v>
                </c:pt>
                <c:pt idx="708">
                  <c:v>36.819200000000848</c:v>
                </c:pt>
                <c:pt idx="709">
                  <c:v>36.819300000000851</c:v>
                </c:pt>
                <c:pt idx="710">
                  <c:v>36.819400000000854</c:v>
                </c:pt>
                <c:pt idx="711">
                  <c:v>36.819500000000858</c:v>
                </c:pt>
                <c:pt idx="712">
                  <c:v>36.819600000000861</c:v>
                </c:pt>
                <c:pt idx="713">
                  <c:v>36.819700000000864</c:v>
                </c:pt>
                <c:pt idx="714">
                  <c:v>36.819800000000868</c:v>
                </c:pt>
                <c:pt idx="715">
                  <c:v>36.819900000000871</c:v>
                </c:pt>
                <c:pt idx="716">
                  <c:v>36.820000000000874</c:v>
                </c:pt>
                <c:pt idx="717">
                  <c:v>36.820100000000878</c:v>
                </c:pt>
                <c:pt idx="718">
                  <c:v>36.820200000000881</c:v>
                </c:pt>
                <c:pt idx="719">
                  <c:v>36.820300000000884</c:v>
                </c:pt>
                <c:pt idx="720">
                  <c:v>36.820400000000888</c:v>
                </c:pt>
                <c:pt idx="721">
                  <c:v>36.820500000000891</c:v>
                </c:pt>
                <c:pt idx="722">
                  <c:v>36.820600000000894</c:v>
                </c:pt>
                <c:pt idx="723">
                  <c:v>36.820700000000897</c:v>
                </c:pt>
                <c:pt idx="724">
                  <c:v>36.820800000000901</c:v>
                </c:pt>
                <c:pt idx="725">
                  <c:v>36.820900000000904</c:v>
                </c:pt>
                <c:pt idx="726">
                  <c:v>36.821000000000907</c:v>
                </c:pt>
                <c:pt idx="727">
                  <c:v>36.821100000000911</c:v>
                </c:pt>
                <c:pt idx="728">
                  <c:v>36.821200000000914</c:v>
                </c:pt>
                <c:pt idx="729">
                  <c:v>36.821300000000917</c:v>
                </c:pt>
                <c:pt idx="730">
                  <c:v>36.821400000000921</c:v>
                </c:pt>
                <c:pt idx="731">
                  <c:v>36.821500000000924</c:v>
                </c:pt>
                <c:pt idx="732">
                  <c:v>36.821600000000927</c:v>
                </c:pt>
                <c:pt idx="733">
                  <c:v>36.821700000000931</c:v>
                </c:pt>
                <c:pt idx="734">
                  <c:v>36.821800000000934</c:v>
                </c:pt>
                <c:pt idx="735">
                  <c:v>36.821900000000937</c:v>
                </c:pt>
                <c:pt idx="736">
                  <c:v>36.822000000000941</c:v>
                </c:pt>
                <c:pt idx="737">
                  <c:v>36.822100000000944</c:v>
                </c:pt>
                <c:pt idx="738">
                  <c:v>36.822200000000947</c:v>
                </c:pt>
                <c:pt idx="739">
                  <c:v>36.822300000000951</c:v>
                </c:pt>
                <c:pt idx="740">
                  <c:v>36.822400000000954</c:v>
                </c:pt>
                <c:pt idx="741">
                  <c:v>36.822500000000957</c:v>
                </c:pt>
                <c:pt idx="742">
                  <c:v>36.822600000000961</c:v>
                </c:pt>
                <c:pt idx="743">
                  <c:v>36.822700000000964</c:v>
                </c:pt>
                <c:pt idx="744">
                  <c:v>36.822800000000967</c:v>
                </c:pt>
                <c:pt idx="745">
                  <c:v>36.822900000000971</c:v>
                </c:pt>
                <c:pt idx="746">
                  <c:v>36.823000000000974</c:v>
                </c:pt>
                <c:pt idx="747">
                  <c:v>36.823100000000977</c:v>
                </c:pt>
                <c:pt idx="748">
                  <c:v>36.82320000000098</c:v>
                </c:pt>
                <c:pt idx="749">
                  <c:v>36.823300000000984</c:v>
                </c:pt>
                <c:pt idx="750">
                  <c:v>36.823400000000987</c:v>
                </c:pt>
                <c:pt idx="751">
                  <c:v>36.82350000000099</c:v>
                </c:pt>
                <c:pt idx="752">
                  <c:v>36.823600000000994</c:v>
                </c:pt>
                <c:pt idx="753">
                  <c:v>36.823700000000997</c:v>
                </c:pt>
                <c:pt idx="754">
                  <c:v>36.823800000001</c:v>
                </c:pt>
                <c:pt idx="755">
                  <c:v>36.823900000001004</c:v>
                </c:pt>
                <c:pt idx="756">
                  <c:v>36.824000000001007</c:v>
                </c:pt>
                <c:pt idx="757">
                  <c:v>36.82410000000101</c:v>
                </c:pt>
                <c:pt idx="758">
                  <c:v>36.824200000001014</c:v>
                </c:pt>
                <c:pt idx="759">
                  <c:v>36.824300000001017</c:v>
                </c:pt>
                <c:pt idx="760">
                  <c:v>36.82440000000102</c:v>
                </c:pt>
                <c:pt idx="761">
                  <c:v>36.824500000001024</c:v>
                </c:pt>
                <c:pt idx="762">
                  <c:v>36.824600000001027</c:v>
                </c:pt>
                <c:pt idx="763">
                  <c:v>36.82470000000103</c:v>
                </c:pt>
                <c:pt idx="764">
                  <c:v>36.824800000001034</c:v>
                </c:pt>
                <c:pt idx="765">
                  <c:v>36.824900000001037</c:v>
                </c:pt>
                <c:pt idx="766">
                  <c:v>36.82500000000104</c:v>
                </c:pt>
                <c:pt idx="767">
                  <c:v>36.825100000001044</c:v>
                </c:pt>
                <c:pt idx="768">
                  <c:v>36.825200000001047</c:v>
                </c:pt>
                <c:pt idx="769">
                  <c:v>36.82530000000105</c:v>
                </c:pt>
                <c:pt idx="770">
                  <c:v>36.825400000001054</c:v>
                </c:pt>
                <c:pt idx="771">
                  <c:v>36.825500000001057</c:v>
                </c:pt>
                <c:pt idx="772">
                  <c:v>36.82560000000106</c:v>
                </c:pt>
                <c:pt idx="773">
                  <c:v>36.825700000001063</c:v>
                </c:pt>
                <c:pt idx="774">
                  <c:v>36.825800000001067</c:v>
                </c:pt>
                <c:pt idx="775">
                  <c:v>36.82590000000107</c:v>
                </c:pt>
                <c:pt idx="776">
                  <c:v>36.826000000001073</c:v>
                </c:pt>
                <c:pt idx="777">
                  <c:v>36.826100000001077</c:v>
                </c:pt>
                <c:pt idx="778">
                  <c:v>36.82620000000108</c:v>
                </c:pt>
                <c:pt idx="779">
                  <c:v>36.826300000001083</c:v>
                </c:pt>
                <c:pt idx="780">
                  <c:v>36.826400000001087</c:v>
                </c:pt>
                <c:pt idx="781">
                  <c:v>36.82650000000109</c:v>
                </c:pt>
                <c:pt idx="782">
                  <c:v>36.826600000001093</c:v>
                </c:pt>
                <c:pt idx="783">
                  <c:v>36.826700000001097</c:v>
                </c:pt>
                <c:pt idx="784">
                  <c:v>36.8268000000011</c:v>
                </c:pt>
                <c:pt idx="785">
                  <c:v>36.826900000001103</c:v>
                </c:pt>
                <c:pt idx="786">
                  <c:v>36.827000000001107</c:v>
                </c:pt>
                <c:pt idx="787">
                  <c:v>36.82710000000111</c:v>
                </c:pt>
                <c:pt idx="788">
                  <c:v>36.827200000001113</c:v>
                </c:pt>
                <c:pt idx="789">
                  <c:v>36.827300000001117</c:v>
                </c:pt>
                <c:pt idx="790">
                  <c:v>36.82740000000112</c:v>
                </c:pt>
                <c:pt idx="791">
                  <c:v>36.827500000001123</c:v>
                </c:pt>
                <c:pt idx="792">
                  <c:v>36.827600000001127</c:v>
                </c:pt>
                <c:pt idx="793">
                  <c:v>36.82770000000113</c:v>
                </c:pt>
                <c:pt idx="794">
                  <c:v>36.827800000001133</c:v>
                </c:pt>
                <c:pt idx="795">
                  <c:v>36.827900000001137</c:v>
                </c:pt>
                <c:pt idx="796">
                  <c:v>36.82800000000114</c:v>
                </c:pt>
                <c:pt idx="797">
                  <c:v>36.828100000001143</c:v>
                </c:pt>
                <c:pt idx="798">
                  <c:v>36.828200000001146</c:v>
                </c:pt>
                <c:pt idx="799">
                  <c:v>36.82830000000115</c:v>
                </c:pt>
                <c:pt idx="800">
                  <c:v>36.828400000001153</c:v>
                </c:pt>
                <c:pt idx="801">
                  <c:v>36.828500000001156</c:v>
                </c:pt>
                <c:pt idx="802">
                  <c:v>36.82860000000116</c:v>
                </c:pt>
                <c:pt idx="803">
                  <c:v>36.828700000001163</c:v>
                </c:pt>
                <c:pt idx="804">
                  <c:v>36.828800000001166</c:v>
                </c:pt>
                <c:pt idx="805">
                  <c:v>36.82890000000117</c:v>
                </c:pt>
                <c:pt idx="806">
                  <c:v>36.829000000001173</c:v>
                </c:pt>
                <c:pt idx="807">
                  <c:v>36.829100000001176</c:v>
                </c:pt>
                <c:pt idx="808">
                  <c:v>36.82920000000118</c:v>
                </c:pt>
                <c:pt idx="809">
                  <c:v>36.829300000001183</c:v>
                </c:pt>
                <c:pt idx="810">
                  <c:v>36.829400000001186</c:v>
                </c:pt>
                <c:pt idx="811">
                  <c:v>36.82950000000119</c:v>
                </c:pt>
                <c:pt idx="812">
                  <c:v>36.829600000001193</c:v>
                </c:pt>
                <c:pt idx="813">
                  <c:v>36.829700000001196</c:v>
                </c:pt>
                <c:pt idx="814">
                  <c:v>36.8298000000012</c:v>
                </c:pt>
                <c:pt idx="815">
                  <c:v>36.829900000001203</c:v>
                </c:pt>
                <c:pt idx="816">
                  <c:v>36.830000000001206</c:v>
                </c:pt>
                <c:pt idx="817">
                  <c:v>36.83010000000121</c:v>
                </c:pt>
                <c:pt idx="818">
                  <c:v>36.830200000001213</c:v>
                </c:pt>
                <c:pt idx="819">
                  <c:v>36.830300000001216</c:v>
                </c:pt>
                <c:pt idx="820">
                  <c:v>36.830400000001219</c:v>
                </c:pt>
                <c:pt idx="821">
                  <c:v>36.830500000001223</c:v>
                </c:pt>
                <c:pt idx="822">
                  <c:v>36.830600000001226</c:v>
                </c:pt>
                <c:pt idx="823">
                  <c:v>36.830700000001229</c:v>
                </c:pt>
                <c:pt idx="824">
                  <c:v>36.830800000001233</c:v>
                </c:pt>
                <c:pt idx="825">
                  <c:v>36.830900000001236</c:v>
                </c:pt>
                <c:pt idx="826">
                  <c:v>36.831000000001239</c:v>
                </c:pt>
                <c:pt idx="827">
                  <c:v>36.831100000001243</c:v>
                </c:pt>
                <c:pt idx="828">
                  <c:v>36.831200000001246</c:v>
                </c:pt>
                <c:pt idx="829">
                  <c:v>36.831300000001249</c:v>
                </c:pt>
                <c:pt idx="830">
                  <c:v>36.831400000001253</c:v>
                </c:pt>
                <c:pt idx="831">
                  <c:v>36.831500000001256</c:v>
                </c:pt>
                <c:pt idx="832">
                  <c:v>36.831600000001259</c:v>
                </c:pt>
                <c:pt idx="833">
                  <c:v>36.831700000001263</c:v>
                </c:pt>
                <c:pt idx="834">
                  <c:v>36.831800000001266</c:v>
                </c:pt>
                <c:pt idx="835">
                  <c:v>36.831900000001269</c:v>
                </c:pt>
                <c:pt idx="836">
                  <c:v>36.832000000001273</c:v>
                </c:pt>
                <c:pt idx="837">
                  <c:v>36.832100000001276</c:v>
                </c:pt>
                <c:pt idx="838">
                  <c:v>36.832200000001279</c:v>
                </c:pt>
                <c:pt idx="839">
                  <c:v>36.832300000001283</c:v>
                </c:pt>
                <c:pt idx="840">
                  <c:v>36.832400000001286</c:v>
                </c:pt>
                <c:pt idx="841">
                  <c:v>36.832500000001289</c:v>
                </c:pt>
                <c:pt idx="842">
                  <c:v>36.832600000001293</c:v>
                </c:pt>
                <c:pt idx="843">
                  <c:v>36.832700000001296</c:v>
                </c:pt>
                <c:pt idx="844">
                  <c:v>36.832800000001299</c:v>
                </c:pt>
                <c:pt idx="845">
                  <c:v>36.832900000001302</c:v>
                </c:pt>
                <c:pt idx="846">
                  <c:v>36.833000000001306</c:v>
                </c:pt>
                <c:pt idx="847">
                  <c:v>36.833100000001309</c:v>
                </c:pt>
                <c:pt idx="848">
                  <c:v>36.833200000001312</c:v>
                </c:pt>
                <c:pt idx="849">
                  <c:v>36.833300000001316</c:v>
                </c:pt>
                <c:pt idx="850">
                  <c:v>36.833400000001319</c:v>
                </c:pt>
                <c:pt idx="851">
                  <c:v>36.833500000001322</c:v>
                </c:pt>
                <c:pt idx="852">
                  <c:v>36.833600000001326</c:v>
                </c:pt>
                <c:pt idx="853">
                  <c:v>36.833700000001329</c:v>
                </c:pt>
                <c:pt idx="854">
                  <c:v>36.833800000001332</c:v>
                </c:pt>
                <c:pt idx="855">
                  <c:v>36.833900000001336</c:v>
                </c:pt>
                <c:pt idx="856">
                  <c:v>36.834000000001339</c:v>
                </c:pt>
                <c:pt idx="857">
                  <c:v>36.834100000001342</c:v>
                </c:pt>
                <c:pt idx="858">
                  <c:v>36.834200000001346</c:v>
                </c:pt>
                <c:pt idx="859">
                  <c:v>36.834300000001349</c:v>
                </c:pt>
                <c:pt idx="860">
                  <c:v>36.834400000001352</c:v>
                </c:pt>
                <c:pt idx="861">
                  <c:v>36.834500000001356</c:v>
                </c:pt>
                <c:pt idx="862">
                  <c:v>36.834600000001359</c:v>
                </c:pt>
                <c:pt idx="863">
                  <c:v>36.834700000001362</c:v>
                </c:pt>
                <c:pt idx="864">
                  <c:v>36.834800000001366</c:v>
                </c:pt>
                <c:pt idx="865">
                  <c:v>36.834900000001369</c:v>
                </c:pt>
                <c:pt idx="866">
                  <c:v>36.835000000001372</c:v>
                </c:pt>
                <c:pt idx="867">
                  <c:v>36.835100000001376</c:v>
                </c:pt>
                <c:pt idx="868">
                  <c:v>36.835200000001379</c:v>
                </c:pt>
                <c:pt idx="869">
                  <c:v>36.835300000001382</c:v>
                </c:pt>
                <c:pt idx="870">
                  <c:v>36.835400000001385</c:v>
                </c:pt>
                <c:pt idx="871">
                  <c:v>36.835500000001389</c:v>
                </c:pt>
                <c:pt idx="872">
                  <c:v>36.835600000001392</c:v>
                </c:pt>
                <c:pt idx="873">
                  <c:v>36.835700000001395</c:v>
                </c:pt>
                <c:pt idx="874">
                  <c:v>36.835800000001399</c:v>
                </c:pt>
                <c:pt idx="875">
                  <c:v>36.835900000001402</c:v>
                </c:pt>
                <c:pt idx="876">
                  <c:v>36.836000000001405</c:v>
                </c:pt>
                <c:pt idx="877">
                  <c:v>36.836100000001409</c:v>
                </c:pt>
                <c:pt idx="878">
                  <c:v>36.836200000001412</c:v>
                </c:pt>
                <c:pt idx="879">
                  <c:v>36.836300000001415</c:v>
                </c:pt>
                <c:pt idx="880">
                  <c:v>36.836400000001419</c:v>
                </c:pt>
                <c:pt idx="881">
                  <c:v>36.836500000001422</c:v>
                </c:pt>
                <c:pt idx="882">
                  <c:v>36.836600000001425</c:v>
                </c:pt>
                <c:pt idx="883">
                  <c:v>36.836700000001429</c:v>
                </c:pt>
                <c:pt idx="884">
                  <c:v>36.836800000001432</c:v>
                </c:pt>
                <c:pt idx="885">
                  <c:v>36.836900000001435</c:v>
                </c:pt>
                <c:pt idx="886">
                  <c:v>36.837000000001439</c:v>
                </c:pt>
                <c:pt idx="887">
                  <c:v>36.837100000001442</c:v>
                </c:pt>
                <c:pt idx="888">
                  <c:v>36.837200000001445</c:v>
                </c:pt>
                <c:pt idx="889">
                  <c:v>36.837300000001449</c:v>
                </c:pt>
                <c:pt idx="890">
                  <c:v>36.837400000001452</c:v>
                </c:pt>
                <c:pt idx="891">
                  <c:v>36.837500000001455</c:v>
                </c:pt>
                <c:pt idx="892">
                  <c:v>36.837600000001459</c:v>
                </c:pt>
                <c:pt idx="893">
                  <c:v>36.837700000001462</c:v>
                </c:pt>
                <c:pt idx="894">
                  <c:v>36.837800000001465</c:v>
                </c:pt>
                <c:pt idx="895">
                  <c:v>36.837900000001468</c:v>
                </c:pt>
                <c:pt idx="896">
                  <c:v>36.838000000001472</c:v>
                </c:pt>
                <c:pt idx="897">
                  <c:v>36.838100000001475</c:v>
                </c:pt>
                <c:pt idx="898">
                  <c:v>36.838200000001478</c:v>
                </c:pt>
                <c:pt idx="899">
                  <c:v>36.838300000001482</c:v>
                </c:pt>
                <c:pt idx="900">
                  <c:v>36.838400000001485</c:v>
                </c:pt>
                <c:pt idx="901">
                  <c:v>36.838500000001488</c:v>
                </c:pt>
                <c:pt idx="902">
                  <c:v>36.838600000001492</c:v>
                </c:pt>
                <c:pt idx="903">
                  <c:v>36.838700000001495</c:v>
                </c:pt>
                <c:pt idx="904">
                  <c:v>36.838800000001498</c:v>
                </c:pt>
                <c:pt idx="905">
                  <c:v>36.838900000001502</c:v>
                </c:pt>
                <c:pt idx="906">
                  <c:v>36.839000000001505</c:v>
                </c:pt>
                <c:pt idx="907">
                  <c:v>36.839100000001508</c:v>
                </c:pt>
                <c:pt idx="908">
                  <c:v>36.839200000001512</c:v>
                </c:pt>
                <c:pt idx="909">
                  <c:v>36.839300000001515</c:v>
                </c:pt>
                <c:pt idx="910">
                  <c:v>36.839400000001518</c:v>
                </c:pt>
                <c:pt idx="911">
                  <c:v>36.839500000001522</c:v>
                </c:pt>
                <c:pt idx="912">
                  <c:v>36.839600000001525</c:v>
                </c:pt>
                <c:pt idx="913">
                  <c:v>36.839700000001528</c:v>
                </c:pt>
                <c:pt idx="914">
                  <c:v>36.839800000001532</c:v>
                </c:pt>
                <c:pt idx="915">
                  <c:v>36.839900000001535</c:v>
                </c:pt>
                <c:pt idx="916">
                  <c:v>36.840000000001538</c:v>
                </c:pt>
                <c:pt idx="917">
                  <c:v>36.840100000001542</c:v>
                </c:pt>
                <c:pt idx="918">
                  <c:v>36.840200000001545</c:v>
                </c:pt>
                <c:pt idx="919">
                  <c:v>36.840300000001548</c:v>
                </c:pt>
                <c:pt idx="920">
                  <c:v>36.840400000001551</c:v>
                </c:pt>
                <c:pt idx="921">
                  <c:v>36.840500000001555</c:v>
                </c:pt>
                <c:pt idx="922">
                  <c:v>36.840600000001558</c:v>
                </c:pt>
                <c:pt idx="923">
                  <c:v>36.840700000001561</c:v>
                </c:pt>
                <c:pt idx="924">
                  <c:v>36.840800000001565</c:v>
                </c:pt>
                <c:pt idx="925">
                  <c:v>36.840900000001568</c:v>
                </c:pt>
                <c:pt idx="926">
                  <c:v>36.841000000001571</c:v>
                </c:pt>
                <c:pt idx="927">
                  <c:v>36.841100000001575</c:v>
                </c:pt>
                <c:pt idx="928">
                  <c:v>36.841200000001578</c:v>
                </c:pt>
                <c:pt idx="929">
                  <c:v>36.841300000001581</c:v>
                </c:pt>
                <c:pt idx="930">
                  <c:v>36.841400000001585</c:v>
                </c:pt>
                <c:pt idx="931">
                  <c:v>36.841500000001588</c:v>
                </c:pt>
                <c:pt idx="932">
                  <c:v>36.841600000001591</c:v>
                </c:pt>
                <c:pt idx="933">
                  <c:v>36.841700000001595</c:v>
                </c:pt>
                <c:pt idx="934">
                  <c:v>36.841800000001598</c:v>
                </c:pt>
                <c:pt idx="935">
                  <c:v>36.841900000001601</c:v>
                </c:pt>
                <c:pt idx="936">
                  <c:v>36.842000000001605</c:v>
                </c:pt>
                <c:pt idx="937">
                  <c:v>36.842100000001608</c:v>
                </c:pt>
                <c:pt idx="938">
                  <c:v>36.842200000001611</c:v>
                </c:pt>
                <c:pt idx="939">
                  <c:v>36.842300000001615</c:v>
                </c:pt>
                <c:pt idx="940">
                  <c:v>36.842400000001618</c:v>
                </c:pt>
                <c:pt idx="941">
                  <c:v>36.842500000001621</c:v>
                </c:pt>
                <c:pt idx="942">
                  <c:v>36.842600000001624</c:v>
                </c:pt>
                <c:pt idx="943">
                  <c:v>36.842700000001628</c:v>
                </c:pt>
                <c:pt idx="944">
                  <c:v>36.842800000001631</c:v>
                </c:pt>
                <c:pt idx="945">
                  <c:v>36.842900000001634</c:v>
                </c:pt>
                <c:pt idx="946">
                  <c:v>36.843000000001638</c:v>
                </c:pt>
                <c:pt idx="947">
                  <c:v>36.843100000001641</c:v>
                </c:pt>
                <c:pt idx="948">
                  <c:v>36.843200000001644</c:v>
                </c:pt>
                <c:pt idx="949">
                  <c:v>36.843300000001648</c:v>
                </c:pt>
                <c:pt idx="950">
                  <c:v>36.843400000001651</c:v>
                </c:pt>
                <c:pt idx="951">
                  <c:v>36.843500000001654</c:v>
                </c:pt>
                <c:pt idx="952">
                  <c:v>36.843600000001658</c:v>
                </c:pt>
                <c:pt idx="953">
                  <c:v>36.843700000001661</c:v>
                </c:pt>
                <c:pt idx="954">
                  <c:v>36.843800000001664</c:v>
                </c:pt>
                <c:pt idx="955">
                  <c:v>36.843900000001668</c:v>
                </c:pt>
                <c:pt idx="956">
                  <c:v>36.844000000001671</c:v>
                </c:pt>
                <c:pt idx="957">
                  <c:v>36.844100000001674</c:v>
                </c:pt>
                <c:pt idx="958">
                  <c:v>36.844200000001678</c:v>
                </c:pt>
                <c:pt idx="959">
                  <c:v>36.844300000001681</c:v>
                </c:pt>
                <c:pt idx="960">
                  <c:v>36.844400000001684</c:v>
                </c:pt>
                <c:pt idx="961">
                  <c:v>36.844500000001688</c:v>
                </c:pt>
                <c:pt idx="962">
                  <c:v>36.844600000001691</c:v>
                </c:pt>
                <c:pt idx="963">
                  <c:v>36.844700000001694</c:v>
                </c:pt>
                <c:pt idx="964">
                  <c:v>36.844800000001698</c:v>
                </c:pt>
                <c:pt idx="965">
                  <c:v>36.844900000001701</c:v>
                </c:pt>
                <c:pt idx="966">
                  <c:v>36.845000000001704</c:v>
                </c:pt>
                <c:pt idx="967">
                  <c:v>36.845100000001707</c:v>
                </c:pt>
                <c:pt idx="968">
                  <c:v>36.845200000001711</c:v>
                </c:pt>
                <c:pt idx="969">
                  <c:v>36.845300000001714</c:v>
                </c:pt>
                <c:pt idx="970">
                  <c:v>36.845400000001717</c:v>
                </c:pt>
                <c:pt idx="971">
                  <c:v>36.845500000001721</c:v>
                </c:pt>
                <c:pt idx="972">
                  <c:v>36.845600000001724</c:v>
                </c:pt>
                <c:pt idx="973">
                  <c:v>36.845700000001727</c:v>
                </c:pt>
                <c:pt idx="974">
                  <c:v>36.845800000001731</c:v>
                </c:pt>
                <c:pt idx="975">
                  <c:v>36.845900000001734</c:v>
                </c:pt>
                <c:pt idx="976">
                  <c:v>36.846000000001737</c:v>
                </c:pt>
                <c:pt idx="977">
                  <c:v>36.846100000001741</c:v>
                </c:pt>
                <c:pt idx="978">
                  <c:v>36.846200000001744</c:v>
                </c:pt>
                <c:pt idx="979">
                  <c:v>36.846300000001747</c:v>
                </c:pt>
                <c:pt idx="980">
                  <c:v>36.846400000001751</c:v>
                </c:pt>
                <c:pt idx="981">
                  <c:v>36.846500000001754</c:v>
                </c:pt>
                <c:pt idx="982">
                  <c:v>36.846600000001757</c:v>
                </c:pt>
                <c:pt idx="983">
                  <c:v>36.846700000001761</c:v>
                </c:pt>
                <c:pt idx="984">
                  <c:v>36.846800000001764</c:v>
                </c:pt>
                <c:pt idx="985">
                  <c:v>36.846900000001767</c:v>
                </c:pt>
                <c:pt idx="986">
                  <c:v>36.847000000001771</c:v>
                </c:pt>
                <c:pt idx="987">
                  <c:v>36.847100000001774</c:v>
                </c:pt>
                <c:pt idx="988">
                  <c:v>36.847200000001777</c:v>
                </c:pt>
                <c:pt idx="989">
                  <c:v>36.847300000001781</c:v>
                </c:pt>
                <c:pt idx="990">
                  <c:v>36.847400000001784</c:v>
                </c:pt>
                <c:pt idx="991">
                  <c:v>36.847500000001787</c:v>
                </c:pt>
                <c:pt idx="992">
                  <c:v>36.84760000000179</c:v>
                </c:pt>
                <c:pt idx="993">
                  <c:v>36.847700000001794</c:v>
                </c:pt>
                <c:pt idx="994">
                  <c:v>36.847800000001797</c:v>
                </c:pt>
                <c:pt idx="995">
                  <c:v>36.8479000000018</c:v>
                </c:pt>
                <c:pt idx="996">
                  <c:v>36.848000000001804</c:v>
                </c:pt>
                <c:pt idx="997">
                  <c:v>36.848100000001807</c:v>
                </c:pt>
                <c:pt idx="998">
                  <c:v>36.84820000000181</c:v>
                </c:pt>
                <c:pt idx="999">
                  <c:v>36.848300000001814</c:v>
                </c:pt>
                <c:pt idx="1000">
                  <c:v>36.848400000001817</c:v>
                </c:pt>
              </c:numCache>
            </c:numRef>
          </c:xVal>
          <c:yVal>
            <c:numRef>
              <c:f>Calculs!$AE$4:$AE$1004</c:f>
              <c:numCache>
                <c:formatCode>0</c:formatCode>
                <c:ptCount val="1001"/>
                <c:pt idx="0">
                  <c:v>497.16938386972515</c:v>
                </c:pt>
                <c:pt idx="1">
                  <c:v>498.89573959931016</c:v>
                </c:pt>
                <c:pt idx="2">
                  <c:v>500.62273167179706</c:v>
                </c:pt>
                <c:pt idx="3">
                  <c:v>502.35320005311092</c:v>
                </c:pt>
                <c:pt idx="4">
                  <c:v>504.08765724446886</c:v>
                </c:pt>
                <c:pt idx="5">
                  <c:v>505.82560681945085</c:v>
                </c:pt>
                <c:pt idx="6">
                  <c:v>507.56685996383527</c:v>
                </c:pt>
                <c:pt idx="7">
                  <c:v>509.31138158541756</c:v>
                </c:pt>
                <c:pt idx="8">
                  <c:v>511.05913664583966</c:v>
                </c:pt>
                <c:pt idx="9">
                  <c:v>512.81009016116366</c:v>
                </c:pt>
                <c:pt idx="10">
                  <c:v>514.56420720243705</c:v>
                </c:pt>
                <c:pt idx="11">
                  <c:v>516.32145289624896</c:v>
                </c:pt>
                <c:pt idx="12">
                  <c:v>518.08179242527808</c:v>
                </c:pt>
                <c:pt idx="13">
                  <c:v>519.84519102883144</c:v>
                </c:pt>
                <c:pt idx="14">
                  <c:v>521.61161400337528</c:v>
                </c:pt>
                <c:pt idx="15">
                  <c:v>523.38102670305636</c:v>
                </c:pt>
                <c:pt idx="16">
                  <c:v>525.1533945402158</c:v>
                </c:pt>
                <c:pt idx="17">
                  <c:v>526.92868298589349</c:v>
                </c:pt>
                <c:pt idx="18">
                  <c:v>528.70685757032436</c:v>
                </c:pt>
                <c:pt idx="19">
                  <c:v>530.48788388342643</c:v>
                </c:pt>
                <c:pt idx="20">
                  <c:v>532.27172757527978</c:v>
                </c:pt>
                <c:pt idx="21">
                  <c:v>534.05835435659776</c:v>
                </c:pt>
                <c:pt idx="22">
                  <c:v>535.84772999918926</c:v>
                </c:pt>
                <c:pt idx="23">
                  <c:v>537.63982033641309</c:v>
                </c:pt>
                <c:pt idx="24">
                  <c:v>539.43459126362404</c:v>
                </c:pt>
                <c:pt idx="25">
                  <c:v>541.23200873860992</c:v>
                </c:pt>
                <c:pt idx="26">
                  <c:v>543.03203878202157</c:v>
                </c:pt>
                <c:pt idx="27">
                  <c:v>544.83464747779362</c:v>
                </c:pt>
                <c:pt idx="28">
                  <c:v>546.63980097355761</c:v>
                </c:pt>
                <c:pt idx="29">
                  <c:v>548.44746548104706</c:v>
                </c:pt>
                <c:pt idx="30">
                  <c:v>550.2576072764939</c:v>
                </c:pt>
                <c:pt idx="31">
                  <c:v>552.07019270101739</c:v>
                </c:pt>
                <c:pt idx="32">
                  <c:v>553.88518816100498</c:v>
                </c:pt>
                <c:pt idx="33">
                  <c:v>555.70256012848495</c:v>
                </c:pt>
                <c:pt idx="34">
                  <c:v>557.52227514149126</c:v>
                </c:pt>
                <c:pt idx="35">
                  <c:v>559.34429980442042</c:v>
                </c:pt>
                <c:pt idx="36">
                  <c:v>561.16860078838067</c:v>
                </c:pt>
                <c:pt idx="37">
                  <c:v>562.99514483153337</c:v>
                </c:pt>
                <c:pt idx="38">
                  <c:v>564.82389873942645</c:v>
                </c:pt>
                <c:pt idx="39">
                  <c:v>566.65482938532023</c:v>
                </c:pt>
                <c:pt idx="40">
                  <c:v>568.48790371050552</c:v>
                </c:pt>
                <c:pt idx="41">
                  <c:v>570.32308872461442</c:v>
                </c:pt>
                <c:pt idx="42">
                  <c:v>572.1603515059229</c:v>
                </c:pt>
                <c:pt idx="43">
                  <c:v>573.99965920164652</c:v>
                </c:pt>
                <c:pt idx="44">
                  <c:v>575.84097902822828</c:v>
                </c:pt>
                <c:pt idx="45">
                  <c:v>577.68427827161906</c:v>
                </c:pt>
                <c:pt idx="46">
                  <c:v>579.52952428755066</c:v>
                </c:pt>
                <c:pt idx="47">
                  <c:v>581.37668450180161</c:v>
                </c:pt>
                <c:pt idx="48">
                  <c:v>583.22572641045554</c:v>
                </c:pt>
                <c:pt idx="49">
                  <c:v>585.07661758015252</c:v>
                </c:pt>
                <c:pt idx="50">
                  <c:v>586.92932564833291</c:v>
                </c:pt>
                <c:pt idx="51">
                  <c:v>588.78381832347418</c:v>
                </c:pt>
                <c:pt idx="52">
                  <c:v>590.64006338532056</c:v>
                </c:pt>
                <c:pt idx="53">
                  <c:v>592.49802868510585</c:v>
                </c:pt>
                <c:pt idx="54">
                  <c:v>594.35768214576876</c:v>
                </c:pt>
                <c:pt idx="55">
                  <c:v>596.21899176216198</c:v>
                </c:pt>
                <c:pt idx="56">
                  <c:v>598.08192560125349</c:v>
                </c:pt>
                <c:pt idx="57">
                  <c:v>599.94645180232192</c:v>
                </c:pt>
                <c:pt idx="58">
                  <c:v>601.81253857714432</c:v>
                </c:pt>
                <c:pt idx="59">
                  <c:v>603.68015421017753</c:v>
                </c:pt>
                <c:pt idx="60">
                  <c:v>605.54926705873288</c:v>
                </c:pt>
                <c:pt idx="61">
                  <c:v>607.41984555314411</c:v>
                </c:pt>
                <c:pt idx="62">
                  <c:v>609.29185819692862</c:v>
                </c:pt>
                <c:pt idx="63">
                  <c:v>611.16526021641982</c:v>
                </c:pt>
                <c:pt idx="64">
                  <c:v>613.03998023910196</c:v>
                </c:pt>
                <c:pt idx="65">
                  <c:v>614.91593370879411</c:v>
                </c:pt>
                <c:pt idx="66">
                  <c:v>616.79303627257457</c:v>
                </c:pt>
                <c:pt idx="67">
                  <c:v>618.67119154378247</c:v>
                </c:pt>
                <c:pt idx="68">
                  <c:v>620.55027889256962</c:v>
                </c:pt>
                <c:pt idx="69">
                  <c:v>622.43014398025457</c:v>
                </c:pt>
                <c:pt idx="70">
                  <c:v>624.3105893178938</c:v>
                </c:pt>
                <c:pt idx="71">
                  <c:v>626.19139614741255</c:v>
                </c:pt>
                <c:pt idx="72">
                  <c:v>628.07234627371463</c:v>
                </c:pt>
                <c:pt idx="73">
                  <c:v>629.95322207108086</c:v>
                </c:pt>
                <c:pt idx="74">
                  <c:v>631.83380648928471</c:v>
                </c:pt>
                <c:pt idx="75">
                  <c:v>633.71388305942742</c:v>
                </c:pt>
                <c:pt idx="76">
                  <c:v>635.5932358994944</c:v>
                </c:pt>
                <c:pt idx="77">
                  <c:v>637.47164971963605</c:v>
                </c:pt>
                <c:pt idx="78">
                  <c:v>639.34890982717468</c:v>
                </c:pt>
                <c:pt idx="79">
                  <c:v>641.22480213134043</c:v>
                </c:pt>
                <c:pt idx="80">
                  <c:v>643.09911314773831</c:v>
                </c:pt>
                <c:pt idx="81">
                  <c:v>644.9716558907736</c:v>
                </c:pt>
                <c:pt idx="82">
                  <c:v>646.84229569084152</c:v>
                </c:pt>
                <c:pt idx="83">
                  <c:v>648.71092415512294</c:v>
                </c:pt>
                <c:pt idx="84">
                  <c:v>650.57743320143447</c:v>
                </c:pt>
                <c:pt idx="85">
                  <c:v>652.44171505816939</c:v>
                </c:pt>
                <c:pt idx="86">
                  <c:v>654.30366226417652</c:v>
                </c:pt>
                <c:pt idx="87">
                  <c:v>656.16316766858006</c:v>
                </c:pt>
                <c:pt idx="88">
                  <c:v>658.020124430539</c:v>
                </c:pt>
                <c:pt idx="89">
                  <c:v>659.8744341973246</c:v>
                </c:pt>
                <c:pt idx="90">
                  <c:v>661.72601525758</c:v>
                </c:pt>
                <c:pt idx="91">
                  <c:v>663.57479431251056</c:v>
                </c:pt>
                <c:pt idx="92">
                  <c:v>665.42069827167882</c:v>
                </c:pt>
                <c:pt idx="93">
                  <c:v>667.26365629703207</c:v>
                </c:pt>
                <c:pt idx="94">
                  <c:v>669.10360184063438</c:v>
                </c:pt>
                <c:pt idx="95">
                  <c:v>670.9404705865926</c:v>
                </c:pt>
                <c:pt idx="96">
                  <c:v>672.77419839923891</c:v>
                </c:pt>
                <c:pt idx="97">
                  <c:v>674.6047295013326</c:v>
                </c:pt>
                <c:pt idx="98">
                  <c:v>676.43202462690215</c:v>
                </c:pt>
                <c:pt idx="99">
                  <c:v>678.25605279092724</c:v>
                </c:pt>
                <c:pt idx="100">
                  <c:v>680.07678308450363</c:v>
                </c:pt>
                <c:pt idx="101">
                  <c:v>681.89418467431676</c:v>
                </c:pt>
                <c:pt idx="102">
                  <c:v>683.70822680211359</c:v>
                </c:pt>
                <c:pt idx="103">
                  <c:v>685.51887878417324</c:v>
                </c:pt>
                <c:pt idx="104">
                  <c:v>687.32611001077612</c:v>
                </c:pt>
                <c:pt idx="105">
                  <c:v>689.12988994567115</c:v>
                </c:pt>
                <c:pt idx="106">
                  <c:v>690.93018812554192</c:v>
                </c:pt>
                <c:pt idx="107">
                  <c:v>692.72697415947118</c:v>
                </c:pt>
                <c:pt idx="108">
                  <c:v>694.52021772840419</c:v>
                </c:pt>
                <c:pt idx="109">
                  <c:v>696.30989880621405</c:v>
                </c:pt>
                <c:pt idx="110">
                  <c:v>698.09601784895585</c:v>
                </c:pt>
                <c:pt idx="111">
                  <c:v>699.87858550997441</c:v>
                </c:pt>
                <c:pt idx="112">
                  <c:v>701.6576123872843</c:v>
                </c:pt>
                <c:pt idx="113">
                  <c:v>703.43310902395137</c:v>
                </c:pt>
                <c:pt idx="114">
                  <c:v>705.20508590847032</c:v>
                </c:pt>
                <c:pt idx="115">
                  <c:v>706.97355347513962</c:v>
                </c:pt>
                <c:pt idx="116">
                  <c:v>708.73852210443295</c:v>
                </c:pt>
                <c:pt idx="117">
                  <c:v>710.50000212336715</c:v>
                </c:pt>
                <c:pt idx="118">
                  <c:v>712.25800380586782</c:v>
                </c:pt>
                <c:pt idx="119">
                  <c:v>714.01253737313061</c:v>
                </c:pt>
                <c:pt idx="120">
                  <c:v>715.7636129939807</c:v>
                </c:pt>
                <c:pt idx="121">
                  <c:v>717.5112407852281</c:v>
                </c:pt>
                <c:pt idx="122">
                  <c:v>719.25543081202034</c:v>
                </c:pt>
                <c:pt idx="123">
                  <c:v>720.99619308819263</c:v>
                </c:pt>
                <c:pt idx="124">
                  <c:v>722.73353757661425</c:v>
                </c:pt>
                <c:pt idx="125">
                  <c:v>724.46747418953225</c:v>
                </c:pt>
                <c:pt idx="126">
                  <c:v>726.19801278891248</c:v>
                </c:pt>
                <c:pt idx="127">
                  <c:v>727.92516318677758</c:v>
                </c:pt>
                <c:pt idx="128">
                  <c:v>729.64893514554217</c:v>
                </c:pt>
                <c:pt idx="129">
                  <c:v>731.36933837834488</c:v>
                </c:pt>
                <c:pt idx="130">
                  <c:v>733.08638254937807</c:v>
                </c:pt>
                <c:pt idx="131">
                  <c:v>734.80007727421435</c:v>
                </c:pt>
                <c:pt idx="132">
                  <c:v>736.51043212013087</c:v>
                </c:pt>
                <c:pt idx="133">
                  <c:v>738.21745660643023</c:v>
                </c:pt>
                <c:pt idx="134">
                  <c:v>739.92116020475919</c:v>
                </c:pt>
                <c:pt idx="135">
                  <c:v>741.62155233942462</c:v>
                </c:pt>
                <c:pt idx="136">
                  <c:v>743.31864238770663</c:v>
                </c:pt>
                <c:pt idx="137">
                  <c:v>745.01243968016945</c:v>
                </c:pt>
                <c:pt idx="138">
                  <c:v>746.70295350096933</c:v>
                </c:pt>
                <c:pt idx="139">
                  <c:v>748.39019308816012</c:v>
                </c:pt>
                <c:pt idx="140">
                  <c:v>750.07416763399613</c:v>
                </c:pt>
                <c:pt idx="141">
                  <c:v>751.75488628523283</c:v>
                </c:pt>
                <c:pt idx="142">
                  <c:v>753.43235814342472</c:v>
                </c:pt>
                <c:pt idx="143">
                  <c:v>755.10659226522091</c:v>
                </c:pt>
                <c:pt idx="144">
                  <c:v>756.77759766265831</c:v>
                </c:pt>
                <c:pt idx="145">
                  <c:v>758.44538330345199</c:v>
                </c:pt>
                <c:pt idx="146">
                  <c:v>760.10995811128396</c:v>
                </c:pt>
                <c:pt idx="147">
                  <c:v>761.77133096608884</c:v>
                </c:pt>
                <c:pt idx="148">
                  <c:v>763.42951070433753</c:v>
                </c:pt>
                <c:pt idx="149">
                  <c:v>765.08450611931846</c:v>
                </c:pt>
                <c:pt idx="150">
                  <c:v>766.73632596141681</c:v>
                </c:pt>
                <c:pt idx="151">
                  <c:v>768.38497893839099</c:v>
                </c:pt>
                <c:pt idx="152">
                  <c:v>770.0304737156473</c:v>
                </c:pt>
                <c:pt idx="153">
                  <c:v>771.67281891651214</c:v>
                </c:pt>
                <c:pt idx="154">
                  <c:v>773.31202312250218</c:v>
                </c:pt>
                <c:pt idx="155">
                  <c:v>774.94809487359191</c:v>
                </c:pt>
                <c:pt idx="156">
                  <c:v>776.58104266847965</c:v>
                </c:pt>
                <c:pt idx="157">
                  <c:v>778.2108749648512</c:v>
                </c:pt>
                <c:pt idx="158">
                  <c:v>779.83760017964096</c:v>
                </c:pt>
                <c:pt idx="159">
                  <c:v>781.46122668929161</c:v>
                </c:pt>
                <c:pt idx="160">
                  <c:v>783.08176283001126</c:v>
                </c:pt>
                <c:pt idx="161">
                  <c:v>784.69921689802857</c:v>
                </c:pt>
                <c:pt idx="162">
                  <c:v>786.31359714984615</c:v>
                </c:pt>
                <c:pt idx="163">
                  <c:v>787.92491180249147</c:v>
                </c:pt>
                <c:pt idx="164">
                  <c:v>789.53316903376628</c:v>
                </c:pt>
                <c:pt idx="165">
                  <c:v>791.13837698249358</c:v>
                </c:pt>
                <c:pt idx="166">
                  <c:v>792.74054374876289</c:v>
                </c:pt>
                <c:pt idx="167">
                  <c:v>794.33967739417358</c:v>
                </c:pt>
                <c:pt idx="168">
                  <c:v>795.93578594207611</c:v>
                </c:pt>
                <c:pt idx="169">
                  <c:v>797.52887737781168</c:v>
                </c:pt>
                <c:pt idx="170">
                  <c:v>799.11895964894961</c:v>
                </c:pt>
                <c:pt idx="171">
                  <c:v>800.70604066552289</c:v>
                </c:pt>
                <c:pt idx="172">
                  <c:v>802.29012830026238</c:v>
                </c:pt>
                <c:pt idx="173">
                  <c:v>803.87123038882839</c:v>
                </c:pt>
                <c:pt idx="174">
                  <c:v>805.44935473004125</c:v>
                </c:pt>
                <c:pt idx="175">
                  <c:v>807.02450908610933</c:v>
                </c:pt>
                <c:pt idx="176">
                  <c:v>808.5967011828559</c:v>
                </c:pt>
                <c:pt idx="177">
                  <c:v>810.1659387099437</c:v>
                </c:pt>
                <c:pt idx="178">
                  <c:v>811.73222932109832</c:v>
                </c:pt>
                <c:pt idx="179">
                  <c:v>813.29558063432921</c:v>
                </c:pt>
                <c:pt idx="180">
                  <c:v>814.85600023214954</c:v>
                </c:pt>
                <c:pt idx="181">
                  <c:v>816.41349566179395</c:v>
                </c:pt>
                <c:pt idx="182">
                  <c:v>817.96807443543491</c:v>
                </c:pt>
                <c:pt idx="183">
                  <c:v>819.51974403039719</c:v>
                </c:pt>
                <c:pt idx="184">
                  <c:v>821.06851188937071</c:v>
                </c:pt>
                <c:pt idx="185">
                  <c:v>822.61438542062194</c:v>
                </c:pt>
                <c:pt idx="186">
                  <c:v>824.15737199820353</c:v>
                </c:pt>
                <c:pt idx="187">
                  <c:v>825.69747896216211</c:v>
                </c:pt>
                <c:pt idx="188">
                  <c:v>827.23471361874499</c:v>
                </c:pt>
                <c:pt idx="189">
                  <c:v>828.76908324060491</c:v>
                </c:pt>
                <c:pt idx="190">
                  <c:v>830.30059506700343</c:v>
                </c:pt>
                <c:pt idx="191">
                  <c:v>831.82925630401223</c:v>
                </c:pt>
                <c:pt idx="192">
                  <c:v>833.35507412471395</c:v>
                </c:pt>
                <c:pt idx="193">
                  <c:v>834.87805566940051</c:v>
                </c:pt>
                <c:pt idx="194">
                  <c:v>836.39820804577016</c:v>
                </c:pt>
                <c:pt idx="195">
                  <c:v>837.91553832912325</c:v>
                </c:pt>
                <c:pt idx="196">
                  <c:v>839.43005356255674</c:v>
                </c:pt>
                <c:pt idx="197">
                  <c:v>840.94176075715643</c:v>
                </c:pt>
                <c:pt idx="198">
                  <c:v>842.45066689218856</c:v>
                </c:pt>
                <c:pt idx="199">
                  <c:v>843.95677891528931</c:v>
                </c:pt>
                <c:pt idx="200">
                  <c:v>845.46010374265359</c:v>
                </c:pt>
                <c:pt idx="201">
                  <c:v>860.34058948310269</c:v>
                </c:pt>
                <c:pt idx="202">
                  <c:v>874.94677406198548</c:v>
                </c:pt>
                <c:pt idx="203">
                  <c:v>889.28528057435142</c:v>
                </c:pt>
                <c:pt idx="204">
                  <c:v>903.36244111234146</c:v>
                </c:pt>
                <c:pt idx="205">
                  <c:v>917.18431336203446</c:v>
                </c:pt>
                <c:pt idx="206">
                  <c:v>930.75669601764514</c:v>
                </c:pt>
                <c:pt idx="207">
                  <c:v>944.08514311313081</c:v>
                </c:pt>
                <c:pt idx="208">
                  <c:v>957.17497736148778</c:v>
                </c:pt>
                <c:pt idx="209">
                  <c:v>970.03130258331862</c:v>
                </c:pt>
                <c:pt idx="210">
                  <c:v>982.65901529849975</c:v>
                </c:pt>
                <c:pt idx="211">
                  <c:v>995.06281554786165</c:v>
                </c:pt>
                <c:pt idx="212">
                  <c:v>1007.2472170056067</c:v>
                </c:pt>
                <c:pt idx="213">
                  <c:v>1019.2165564376544</c:v>
                </c:pt>
                <c:pt idx="214">
                  <c:v>1030.9750025561332</c:v>
                </c:pt>
                <c:pt idx="215">
                  <c:v>1042.5265643157777</c:v>
                </c:pt>
                <c:pt idx="216">
                  <c:v>1053.8750986939813</c:v>
                </c:pt>
                <c:pt idx="217">
                  <c:v>1065.0243179926308</c:v>
                </c:pt>
                <c:pt idx="218">
                  <c:v>1075.9777966966003</c:v>
                </c:pt>
                <c:pt idx="219">
                  <c:v>1086.7389779208268</c:v>
                </c:pt>
                <c:pt idx="220">
                  <c:v>1097.3111794752342</c:v>
                </c:pt>
                <c:pt idx="221">
                  <c:v>1107.6975995743564</c:v>
                </c:pt>
                <c:pt idx="222">
                  <c:v>1117.9013222163239</c:v>
                </c:pt>
                <c:pt idx="223">
                  <c:v>1127.9253222538971</c:v>
                </c:pt>
                <c:pt idx="224">
                  <c:v>1137.7724701784193</c:v>
                </c:pt>
                <c:pt idx="225">
                  <c:v>1147.4455366359275</c:v>
                </c:pt>
                <c:pt idx="226">
                  <c:v>1156.9471966931587</c:v>
                </c:pt>
                <c:pt idx="227">
                  <c:v>1166.2800338698287</c:v>
                </c:pt>
                <c:pt idx="228">
                  <c:v>1175.4465439523137</c:v>
                </c:pt>
                <c:pt idx="229">
                  <c:v>1184.4491386027316</c:v>
                </c:pt>
                <c:pt idx="230">
                  <c:v>1193.2901487763725</c:v>
                </c:pt>
                <c:pt idx="231">
                  <c:v>1201.9718279594815</c:v>
                </c:pt>
                <c:pt idx="232">
                  <c:v>1210.4963552385216</c:v>
                </c:pt>
                <c:pt idx="233">
                  <c:v>1218.8658382112392</c:v>
                </c:pt>
                <c:pt idx="234">
                  <c:v>1227.0823157491263</c:v>
                </c:pt>
                <c:pt idx="235">
                  <c:v>1235.1477606201915</c:v>
                </c:pt>
                <c:pt idx="236">
                  <c:v>1243.0640819803316</c:v>
                </c:pt>
                <c:pt idx="237">
                  <c:v>1250.8331277410227</c:v>
                </c:pt>
                <c:pt idx="238">
                  <c:v>1258.4566868205245</c:v>
                </c:pt>
                <c:pt idx="239">
                  <c:v>1265.9364912852984</c:v>
                </c:pt>
                <c:pt idx="240">
                  <c:v>1273.2742183878981</c:v>
                </c:pt>
                <c:pt idx="241">
                  <c:v>1280.4714925071723</c:v>
                </c:pt>
                <c:pt idx="242">
                  <c:v>1287.5298869962357</c:v>
                </c:pt>
                <c:pt idx="243">
                  <c:v>1294.4509259433123</c:v>
                </c:pt>
                <c:pt idx="244">
                  <c:v>1301.2360858502236</c:v>
                </c:pt>
                <c:pt idx="245">
                  <c:v>1307.886797232994</c:v>
                </c:pt>
                <c:pt idx="246">
                  <c:v>1314.4044461487588</c:v>
                </c:pt>
                <c:pt idx="247">
                  <c:v>1320.7903756529063</c:v>
                </c:pt>
                <c:pt idx="248">
                  <c:v>1327.0458871901365</c:v>
                </c:pt>
                <c:pt idx="249">
                  <c:v>1333.172241922897</c:v>
                </c:pt>
                <c:pt idx="250">
                  <c:v>1339.1706620004506</c:v>
                </c:pt>
                <c:pt idx="251">
                  <c:v>1345.04233177163</c:v>
                </c:pt>
                <c:pt idx="252">
                  <c:v>1350.7883989441607</c:v>
                </c:pt>
                <c:pt idx="253">
                  <c:v>1356.4099756932626</c:v>
                </c:pt>
                <c:pt idx="254">
                  <c:v>1361.9081397220871</c:v>
                </c:pt>
                <c:pt idx="255">
                  <c:v>1367.2839352764031</c:v>
                </c:pt>
                <c:pt idx="256">
                  <c:v>1372.5383741158123</c:v>
                </c:pt>
                <c:pt idx="257">
                  <c:v>1377.6724364436477</c:v>
                </c:pt>
                <c:pt idx="258">
                  <c:v>1382.6870717975996</c:v>
                </c:pt>
                <c:pt idx="259">
                  <c:v>1387.5831999030042</c:v>
                </c:pt>
                <c:pt idx="260">
                  <c:v>1392.3617114906324</c:v>
                </c:pt>
                <c:pt idx="261">
                  <c:v>1397.0234690807297</c:v>
                </c:pt>
                <c:pt idx="262">
                  <c:v>1401.5693077349738</c:v>
                </c:pt>
                <c:pt idx="263">
                  <c:v>1406.0000357779422</c:v>
                </c:pt>
                <c:pt idx="264">
                  <c:v>1410.3164354896151</c:v>
                </c:pt>
                <c:pt idx="265">
                  <c:v>1414.5192637703781</c:v>
                </c:pt>
                <c:pt idx="266">
                  <c:v>1418.6092527799356</c:v>
                </c:pt>
                <c:pt idx="267">
                  <c:v>1422.5871105514993</c:v>
                </c:pt>
                <c:pt idx="268">
                  <c:v>1426.4535215825749</c:v>
                </c:pt>
                <c:pt idx="269">
                  <c:v>1430.2091474036406</c:v>
                </c:pt>
                <c:pt idx="270">
                  <c:v>1433.8546271259822</c:v>
                </c:pt>
                <c:pt idx="271">
                  <c:v>1437.3905779699351</c:v>
                </c:pt>
                <c:pt idx="272">
                  <c:v>1440.8175957747701</c:v>
                </c:pt>
                <c:pt idx="273">
                  <c:v>1444.1362554914645</c:v>
                </c:pt>
                <c:pt idx="274">
                  <c:v>1447.3471116596004</c:v>
                </c:pt>
                <c:pt idx="275">
                  <c:v>1450.4506988696583</c:v>
                </c:pt>
                <c:pt idx="276">
                  <c:v>1453.4475322119943</c:v>
                </c:pt>
                <c:pt idx="277">
                  <c:v>1456.3381077138356</c:v>
                </c:pt>
                <c:pt idx="278">
                  <c:v>1459.1229027656755</c:v>
                </c:pt>
                <c:pt idx="279">
                  <c:v>1461.8023765385194</c:v>
                </c:pt>
                <c:pt idx="280">
                  <c:v>1464.3769703935079</c:v>
                </c:pt>
                <c:pt idx="281">
                  <c:v>1466.8471082855417</c:v>
                </c:pt>
                <c:pt idx="282">
                  <c:v>1469.2131971626427</c:v>
                </c:pt>
                <c:pt idx="283">
                  <c:v>1471.4756273629116</c:v>
                </c:pt>
                <c:pt idx="284">
                  <c:v>1473.6347730110911</c:v>
                </c:pt>
                <c:pt idx="285">
                  <c:v>1475.690992416899</c:v>
                </c:pt>
                <c:pt idx="286">
                  <c:v>1477.6446284774804</c:v>
                </c:pt>
                <c:pt idx="287">
                  <c:v>1479.4960090865077</c:v>
                </c:pt>
                <c:pt idx="288">
                  <c:v>1481.2454475526677</c:v>
                </c:pt>
                <c:pt idx="289">
                  <c:v>1482.8932430304676</c:v>
                </c:pt>
                <c:pt idx="290">
                  <c:v>1484.4396809664947</c:v>
                </c:pt>
                <c:pt idx="291">
                  <c:v>1485.8850335644427</c:v>
                </c:pt>
                <c:pt idx="292">
                  <c:v>1487.2295602723659</c:v>
                </c:pt>
                <c:pt idx="293">
                  <c:v>1488.4735082957209</c:v>
                </c:pt>
                <c:pt idx="294">
                  <c:v>1489.6171131397746</c:v>
                </c:pt>
                <c:pt idx="295">
                  <c:v>1490.660599184883</c:v>
                </c:pt>
                <c:pt idx="296">
                  <c:v>1491.6041802979344</c:v>
                </c:pt>
                <c:pt idx="297">
                  <c:v>1492.4480604828766</c:v>
                </c:pt>
                <c:pt idx="298">
                  <c:v>1493.1924345726979</c:v>
                </c:pt>
                <c:pt idx="299">
                  <c:v>1493.8374889644558</c:v>
                </c:pt>
                <c:pt idx="300">
                  <c:v>1494.3834023979637</c:v>
                </c:pt>
                <c:pt idx="301">
                  <c:v>1494.8303467775438</c:v>
                </c:pt>
                <c:pt idx="302">
                  <c:v>1495.1784880348675</c:v>
                </c:pt>
                <c:pt idx="303">
                  <c:v>1495.4279870293822</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3.875</c:v>
                </c:pt>
              </c:numCache>
            </c:numRef>
          </c:xVal>
          <c:yVal>
            <c:numRef>
              <c:f>Trajecto!$C$158</c:f>
              <c:numCache>
                <c:formatCode>0</c:formatCode>
                <c:ptCount val="1"/>
                <c:pt idx="0">
                  <c:v>747.71399351469108</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26.250000000000064</c:v>
                </c:pt>
              </c:numCache>
            </c:numRef>
          </c:xVal>
          <c:yVal>
            <c:numRef>
              <c:f>Trajecto!$C$159</c:f>
              <c:numCache>
                <c:formatCode>0</c:formatCode>
                <c:ptCount val="1"/>
                <c:pt idx="0">
                  <c:v>747.81584096508061</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35.100000000000186</c:v>
                </c:pt>
                <c:pt idx="500">
                  <c:v>35.200000000000188</c:v>
                </c:pt>
                <c:pt idx="501">
                  <c:v>35.300000000000189</c:v>
                </c:pt>
                <c:pt idx="502">
                  <c:v>35.40000000000019</c:v>
                </c:pt>
                <c:pt idx="503">
                  <c:v>35.500000000000192</c:v>
                </c:pt>
                <c:pt idx="504">
                  <c:v>35.600000000000193</c:v>
                </c:pt>
                <c:pt idx="505">
                  <c:v>35.700000000000195</c:v>
                </c:pt>
                <c:pt idx="506">
                  <c:v>35.800000000000196</c:v>
                </c:pt>
                <c:pt idx="507">
                  <c:v>35.900000000000198</c:v>
                </c:pt>
                <c:pt idx="508">
                  <c:v>36.000000000000199</c:v>
                </c:pt>
                <c:pt idx="509">
                  <c:v>36.1000000000002</c:v>
                </c:pt>
                <c:pt idx="510">
                  <c:v>36.200000000000202</c:v>
                </c:pt>
                <c:pt idx="511">
                  <c:v>36.300000000000203</c:v>
                </c:pt>
                <c:pt idx="512">
                  <c:v>36.400000000000205</c:v>
                </c:pt>
                <c:pt idx="513">
                  <c:v>36.500000000000206</c:v>
                </c:pt>
                <c:pt idx="514">
                  <c:v>36.600000000000207</c:v>
                </c:pt>
                <c:pt idx="515">
                  <c:v>36.700000000000209</c:v>
                </c:pt>
                <c:pt idx="516">
                  <c:v>36.80000000000021</c:v>
                </c:pt>
                <c:pt idx="517">
                  <c:v>36.800100000000214</c:v>
                </c:pt>
                <c:pt idx="518">
                  <c:v>36.800200000000217</c:v>
                </c:pt>
                <c:pt idx="519">
                  <c:v>36.80030000000022</c:v>
                </c:pt>
                <c:pt idx="520">
                  <c:v>36.800400000000224</c:v>
                </c:pt>
                <c:pt idx="521">
                  <c:v>36.800500000000227</c:v>
                </c:pt>
                <c:pt idx="522">
                  <c:v>36.80060000000023</c:v>
                </c:pt>
                <c:pt idx="523">
                  <c:v>36.800700000000234</c:v>
                </c:pt>
                <c:pt idx="524">
                  <c:v>36.800800000000237</c:v>
                </c:pt>
                <c:pt idx="525">
                  <c:v>36.80090000000024</c:v>
                </c:pt>
                <c:pt idx="526">
                  <c:v>36.801000000000244</c:v>
                </c:pt>
                <c:pt idx="527">
                  <c:v>36.801100000000247</c:v>
                </c:pt>
                <c:pt idx="528">
                  <c:v>36.80120000000025</c:v>
                </c:pt>
                <c:pt idx="529">
                  <c:v>36.801300000000253</c:v>
                </c:pt>
                <c:pt idx="530">
                  <c:v>36.801400000000257</c:v>
                </c:pt>
                <c:pt idx="531">
                  <c:v>36.80150000000026</c:v>
                </c:pt>
                <c:pt idx="532">
                  <c:v>36.801600000000263</c:v>
                </c:pt>
                <c:pt idx="533">
                  <c:v>36.801700000000267</c:v>
                </c:pt>
                <c:pt idx="534">
                  <c:v>36.80180000000027</c:v>
                </c:pt>
                <c:pt idx="535">
                  <c:v>36.801900000000273</c:v>
                </c:pt>
                <c:pt idx="536">
                  <c:v>36.802000000000277</c:v>
                </c:pt>
                <c:pt idx="537">
                  <c:v>36.80210000000028</c:v>
                </c:pt>
                <c:pt idx="538">
                  <c:v>36.802200000000283</c:v>
                </c:pt>
                <c:pt idx="539">
                  <c:v>36.802300000000287</c:v>
                </c:pt>
                <c:pt idx="540">
                  <c:v>36.80240000000029</c:v>
                </c:pt>
                <c:pt idx="541">
                  <c:v>36.802500000000293</c:v>
                </c:pt>
                <c:pt idx="542">
                  <c:v>36.802600000000297</c:v>
                </c:pt>
                <c:pt idx="543">
                  <c:v>36.8027000000003</c:v>
                </c:pt>
                <c:pt idx="544">
                  <c:v>36.802800000000303</c:v>
                </c:pt>
                <c:pt idx="545">
                  <c:v>36.802900000000307</c:v>
                </c:pt>
                <c:pt idx="546">
                  <c:v>36.80300000000031</c:v>
                </c:pt>
                <c:pt idx="547">
                  <c:v>36.803100000000313</c:v>
                </c:pt>
                <c:pt idx="548">
                  <c:v>36.803200000000317</c:v>
                </c:pt>
                <c:pt idx="549">
                  <c:v>36.80330000000032</c:v>
                </c:pt>
                <c:pt idx="550">
                  <c:v>36.803400000000323</c:v>
                </c:pt>
                <c:pt idx="551">
                  <c:v>36.803500000000327</c:v>
                </c:pt>
                <c:pt idx="552">
                  <c:v>36.80360000000033</c:v>
                </c:pt>
                <c:pt idx="553">
                  <c:v>36.803700000000333</c:v>
                </c:pt>
                <c:pt idx="554">
                  <c:v>36.803800000000336</c:v>
                </c:pt>
                <c:pt idx="555">
                  <c:v>36.80390000000034</c:v>
                </c:pt>
                <c:pt idx="556">
                  <c:v>36.804000000000343</c:v>
                </c:pt>
                <c:pt idx="557">
                  <c:v>36.804100000000346</c:v>
                </c:pt>
                <c:pt idx="558">
                  <c:v>36.80420000000035</c:v>
                </c:pt>
                <c:pt idx="559">
                  <c:v>36.804300000000353</c:v>
                </c:pt>
                <c:pt idx="560">
                  <c:v>36.804400000000356</c:v>
                </c:pt>
                <c:pt idx="561">
                  <c:v>36.80450000000036</c:v>
                </c:pt>
                <c:pt idx="562">
                  <c:v>36.804600000000363</c:v>
                </c:pt>
                <c:pt idx="563">
                  <c:v>36.804700000000366</c:v>
                </c:pt>
                <c:pt idx="564">
                  <c:v>36.80480000000037</c:v>
                </c:pt>
                <c:pt idx="565">
                  <c:v>36.804900000000373</c:v>
                </c:pt>
                <c:pt idx="566">
                  <c:v>36.805000000000376</c:v>
                </c:pt>
                <c:pt idx="567">
                  <c:v>36.80510000000038</c:v>
                </c:pt>
                <c:pt idx="568">
                  <c:v>36.805200000000383</c:v>
                </c:pt>
                <c:pt idx="569">
                  <c:v>36.805300000000386</c:v>
                </c:pt>
                <c:pt idx="570">
                  <c:v>36.80540000000039</c:v>
                </c:pt>
                <c:pt idx="571">
                  <c:v>36.805500000000393</c:v>
                </c:pt>
                <c:pt idx="572">
                  <c:v>36.805600000000396</c:v>
                </c:pt>
                <c:pt idx="573">
                  <c:v>36.8057000000004</c:v>
                </c:pt>
                <c:pt idx="574">
                  <c:v>36.805800000000403</c:v>
                </c:pt>
                <c:pt idx="575">
                  <c:v>36.805900000000406</c:v>
                </c:pt>
                <c:pt idx="576">
                  <c:v>36.806000000000409</c:v>
                </c:pt>
                <c:pt idx="577">
                  <c:v>36.806100000000413</c:v>
                </c:pt>
                <c:pt idx="578">
                  <c:v>36.806200000000416</c:v>
                </c:pt>
                <c:pt idx="579">
                  <c:v>36.806300000000419</c:v>
                </c:pt>
                <c:pt idx="580">
                  <c:v>36.806400000000423</c:v>
                </c:pt>
                <c:pt idx="581">
                  <c:v>36.806500000000426</c:v>
                </c:pt>
                <c:pt idx="582">
                  <c:v>36.806600000000429</c:v>
                </c:pt>
                <c:pt idx="583">
                  <c:v>36.806700000000433</c:v>
                </c:pt>
                <c:pt idx="584">
                  <c:v>36.806800000000436</c:v>
                </c:pt>
                <c:pt idx="585">
                  <c:v>36.806900000000439</c:v>
                </c:pt>
                <c:pt idx="586">
                  <c:v>36.807000000000443</c:v>
                </c:pt>
                <c:pt idx="587">
                  <c:v>36.807100000000446</c:v>
                </c:pt>
                <c:pt idx="588">
                  <c:v>36.807200000000449</c:v>
                </c:pt>
                <c:pt idx="589">
                  <c:v>36.807300000000453</c:v>
                </c:pt>
                <c:pt idx="590">
                  <c:v>36.807400000000456</c:v>
                </c:pt>
                <c:pt idx="591">
                  <c:v>36.807500000000459</c:v>
                </c:pt>
                <c:pt idx="592">
                  <c:v>36.807600000000463</c:v>
                </c:pt>
                <c:pt idx="593">
                  <c:v>36.807700000000466</c:v>
                </c:pt>
                <c:pt idx="594">
                  <c:v>36.807800000000469</c:v>
                </c:pt>
                <c:pt idx="595">
                  <c:v>36.807900000000473</c:v>
                </c:pt>
                <c:pt idx="596">
                  <c:v>36.808000000000476</c:v>
                </c:pt>
                <c:pt idx="597">
                  <c:v>36.808100000000479</c:v>
                </c:pt>
                <c:pt idx="598">
                  <c:v>36.808200000000483</c:v>
                </c:pt>
                <c:pt idx="599">
                  <c:v>36.808300000000486</c:v>
                </c:pt>
                <c:pt idx="600">
                  <c:v>36.808400000000489</c:v>
                </c:pt>
                <c:pt idx="601">
                  <c:v>36.808500000000492</c:v>
                </c:pt>
                <c:pt idx="602">
                  <c:v>36.808600000000496</c:v>
                </c:pt>
                <c:pt idx="603">
                  <c:v>36.808700000000499</c:v>
                </c:pt>
                <c:pt idx="604">
                  <c:v>36.808800000000502</c:v>
                </c:pt>
                <c:pt idx="605">
                  <c:v>36.808900000000506</c:v>
                </c:pt>
                <c:pt idx="606">
                  <c:v>36.809000000000509</c:v>
                </c:pt>
                <c:pt idx="607">
                  <c:v>36.809100000000512</c:v>
                </c:pt>
                <c:pt idx="608">
                  <c:v>36.809200000000516</c:v>
                </c:pt>
                <c:pt idx="609">
                  <c:v>36.809300000000519</c:v>
                </c:pt>
                <c:pt idx="610">
                  <c:v>36.809400000000522</c:v>
                </c:pt>
                <c:pt idx="611">
                  <c:v>36.809500000000526</c:v>
                </c:pt>
                <c:pt idx="612">
                  <c:v>36.809600000000529</c:v>
                </c:pt>
                <c:pt idx="613">
                  <c:v>36.809700000000532</c:v>
                </c:pt>
                <c:pt idx="614">
                  <c:v>36.809800000000536</c:v>
                </c:pt>
                <c:pt idx="615">
                  <c:v>36.809900000000539</c:v>
                </c:pt>
                <c:pt idx="616">
                  <c:v>36.810000000000542</c:v>
                </c:pt>
                <c:pt idx="617">
                  <c:v>36.810100000000546</c:v>
                </c:pt>
                <c:pt idx="618">
                  <c:v>36.810200000000549</c:v>
                </c:pt>
                <c:pt idx="619">
                  <c:v>36.810300000000552</c:v>
                </c:pt>
                <c:pt idx="620">
                  <c:v>36.810400000000556</c:v>
                </c:pt>
                <c:pt idx="621">
                  <c:v>36.810500000000559</c:v>
                </c:pt>
                <c:pt idx="622">
                  <c:v>36.810600000000562</c:v>
                </c:pt>
                <c:pt idx="623">
                  <c:v>36.810700000000566</c:v>
                </c:pt>
                <c:pt idx="624">
                  <c:v>36.810800000000569</c:v>
                </c:pt>
                <c:pt idx="625">
                  <c:v>36.810900000000572</c:v>
                </c:pt>
                <c:pt idx="626">
                  <c:v>36.811000000000575</c:v>
                </c:pt>
                <c:pt idx="627">
                  <c:v>36.811100000000579</c:v>
                </c:pt>
                <c:pt idx="628">
                  <c:v>36.811200000000582</c:v>
                </c:pt>
                <c:pt idx="629">
                  <c:v>36.811300000000585</c:v>
                </c:pt>
                <c:pt idx="630">
                  <c:v>36.811400000000589</c:v>
                </c:pt>
                <c:pt idx="631">
                  <c:v>36.811500000000592</c:v>
                </c:pt>
                <c:pt idx="632">
                  <c:v>36.811600000000595</c:v>
                </c:pt>
                <c:pt idx="633">
                  <c:v>36.811700000000599</c:v>
                </c:pt>
                <c:pt idx="634">
                  <c:v>36.811800000000602</c:v>
                </c:pt>
                <c:pt idx="635">
                  <c:v>36.811900000000605</c:v>
                </c:pt>
                <c:pt idx="636">
                  <c:v>36.812000000000609</c:v>
                </c:pt>
                <c:pt idx="637">
                  <c:v>36.812100000000612</c:v>
                </c:pt>
                <c:pt idx="638">
                  <c:v>36.812200000000615</c:v>
                </c:pt>
                <c:pt idx="639">
                  <c:v>36.812300000000619</c:v>
                </c:pt>
                <c:pt idx="640">
                  <c:v>36.812400000000622</c:v>
                </c:pt>
                <c:pt idx="641">
                  <c:v>36.812500000000625</c:v>
                </c:pt>
                <c:pt idx="642">
                  <c:v>36.812600000000629</c:v>
                </c:pt>
                <c:pt idx="643">
                  <c:v>36.812700000000632</c:v>
                </c:pt>
                <c:pt idx="644">
                  <c:v>36.812800000000635</c:v>
                </c:pt>
                <c:pt idx="645">
                  <c:v>36.812900000000639</c:v>
                </c:pt>
                <c:pt idx="646">
                  <c:v>36.813000000000642</c:v>
                </c:pt>
                <c:pt idx="647">
                  <c:v>36.813100000000645</c:v>
                </c:pt>
                <c:pt idx="648">
                  <c:v>36.813200000000649</c:v>
                </c:pt>
                <c:pt idx="649">
                  <c:v>36.813300000000652</c:v>
                </c:pt>
                <c:pt idx="650">
                  <c:v>36.813400000000655</c:v>
                </c:pt>
                <c:pt idx="651">
                  <c:v>36.813500000000658</c:v>
                </c:pt>
                <c:pt idx="652">
                  <c:v>36.813600000000662</c:v>
                </c:pt>
                <c:pt idx="653">
                  <c:v>36.813700000000665</c:v>
                </c:pt>
                <c:pt idx="654">
                  <c:v>36.813800000000668</c:v>
                </c:pt>
                <c:pt idx="655">
                  <c:v>36.813900000000672</c:v>
                </c:pt>
                <c:pt idx="656">
                  <c:v>36.814000000000675</c:v>
                </c:pt>
                <c:pt idx="657">
                  <c:v>36.814100000000678</c:v>
                </c:pt>
                <c:pt idx="658">
                  <c:v>36.814200000000682</c:v>
                </c:pt>
                <c:pt idx="659">
                  <c:v>36.814300000000685</c:v>
                </c:pt>
                <c:pt idx="660">
                  <c:v>36.814400000000688</c:v>
                </c:pt>
                <c:pt idx="661">
                  <c:v>36.814500000000692</c:v>
                </c:pt>
                <c:pt idx="662">
                  <c:v>36.814600000000695</c:v>
                </c:pt>
                <c:pt idx="663">
                  <c:v>36.814700000000698</c:v>
                </c:pt>
                <c:pt idx="664">
                  <c:v>36.814800000000702</c:v>
                </c:pt>
                <c:pt idx="665">
                  <c:v>36.814900000000705</c:v>
                </c:pt>
                <c:pt idx="666">
                  <c:v>36.815000000000708</c:v>
                </c:pt>
                <c:pt idx="667">
                  <c:v>36.815100000000712</c:v>
                </c:pt>
                <c:pt idx="668">
                  <c:v>36.815200000000715</c:v>
                </c:pt>
                <c:pt idx="669">
                  <c:v>36.815300000000718</c:v>
                </c:pt>
                <c:pt idx="670">
                  <c:v>36.815400000000722</c:v>
                </c:pt>
                <c:pt idx="671">
                  <c:v>36.815500000000725</c:v>
                </c:pt>
                <c:pt idx="672">
                  <c:v>36.815600000000728</c:v>
                </c:pt>
                <c:pt idx="673">
                  <c:v>36.815700000000732</c:v>
                </c:pt>
                <c:pt idx="674">
                  <c:v>36.815800000000735</c:v>
                </c:pt>
                <c:pt idx="675">
                  <c:v>36.815900000000738</c:v>
                </c:pt>
                <c:pt idx="676">
                  <c:v>36.816000000000741</c:v>
                </c:pt>
                <c:pt idx="677">
                  <c:v>36.816100000000745</c:v>
                </c:pt>
                <c:pt idx="678">
                  <c:v>36.816200000000748</c:v>
                </c:pt>
                <c:pt idx="679">
                  <c:v>36.816300000000751</c:v>
                </c:pt>
                <c:pt idx="680">
                  <c:v>36.816400000000755</c:v>
                </c:pt>
                <c:pt idx="681">
                  <c:v>36.816500000000758</c:v>
                </c:pt>
                <c:pt idx="682">
                  <c:v>36.816600000000761</c:v>
                </c:pt>
                <c:pt idx="683">
                  <c:v>36.816700000000765</c:v>
                </c:pt>
                <c:pt idx="684">
                  <c:v>36.816800000000768</c:v>
                </c:pt>
                <c:pt idx="685">
                  <c:v>36.816900000000771</c:v>
                </c:pt>
                <c:pt idx="686">
                  <c:v>36.817000000000775</c:v>
                </c:pt>
                <c:pt idx="687">
                  <c:v>36.817100000000778</c:v>
                </c:pt>
                <c:pt idx="688">
                  <c:v>36.817200000000781</c:v>
                </c:pt>
                <c:pt idx="689">
                  <c:v>36.817300000000785</c:v>
                </c:pt>
                <c:pt idx="690">
                  <c:v>36.817400000000788</c:v>
                </c:pt>
                <c:pt idx="691">
                  <c:v>36.817500000000791</c:v>
                </c:pt>
                <c:pt idx="692">
                  <c:v>36.817600000000795</c:v>
                </c:pt>
                <c:pt idx="693">
                  <c:v>36.817700000000798</c:v>
                </c:pt>
                <c:pt idx="694">
                  <c:v>36.817800000000801</c:v>
                </c:pt>
                <c:pt idx="695">
                  <c:v>36.817900000000805</c:v>
                </c:pt>
                <c:pt idx="696">
                  <c:v>36.818000000000808</c:v>
                </c:pt>
                <c:pt idx="697">
                  <c:v>36.818100000000811</c:v>
                </c:pt>
                <c:pt idx="698">
                  <c:v>36.818200000000814</c:v>
                </c:pt>
                <c:pt idx="699">
                  <c:v>36.818300000000818</c:v>
                </c:pt>
                <c:pt idx="700">
                  <c:v>36.818400000000821</c:v>
                </c:pt>
                <c:pt idx="701">
                  <c:v>36.818500000000824</c:v>
                </c:pt>
                <c:pt idx="702">
                  <c:v>36.818600000000828</c:v>
                </c:pt>
                <c:pt idx="703">
                  <c:v>36.818700000000831</c:v>
                </c:pt>
                <c:pt idx="704">
                  <c:v>36.818800000000834</c:v>
                </c:pt>
                <c:pt idx="705">
                  <c:v>36.818900000000838</c:v>
                </c:pt>
                <c:pt idx="706">
                  <c:v>36.819000000000841</c:v>
                </c:pt>
                <c:pt idx="707">
                  <c:v>36.819100000000844</c:v>
                </c:pt>
                <c:pt idx="708">
                  <c:v>36.819200000000848</c:v>
                </c:pt>
                <c:pt idx="709">
                  <c:v>36.819300000000851</c:v>
                </c:pt>
                <c:pt idx="710">
                  <c:v>36.819400000000854</c:v>
                </c:pt>
                <c:pt idx="711">
                  <c:v>36.819500000000858</c:v>
                </c:pt>
                <c:pt idx="712">
                  <c:v>36.819600000000861</c:v>
                </c:pt>
                <c:pt idx="713">
                  <c:v>36.819700000000864</c:v>
                </c:pt>
                <c:pt idx="714">
                  <c:v>36.819800000000868</c:v>
                </c:pt>
                <c:pt idx="715">
                  <c:v>36.819900000000871</c:v>
                </c:pt>
                <c:pt idx="716">
                  <c:v>36.820000000000874</c:v>
                </c:pt>
                <c:pt idx="717">
                  <c:v>36.820100000000878</c:v>
                </c:pt>
                <c:pt idx="718">
                  <c:v>36.820200000000881</c:v>
                </c:pt>
                <c:pt idx="719">
                  <c:v>36.820300000000884</c:v>
                </c:pt>
                <c:pt idx="720">
                  <c:v>36.820400000000888</c:v>
                </c:pt>
                <c:pt idx="721">
                  <c:v>36.820500000000891</c:v>
                </c:pt>
                <c:pt idx="722">
                  <c:v>36.820600000000894</c:v>
                </c:pt>
                <c:pt idx="723">
                  <c:v>36.820700000000897</c:v>
                </c:pt>
                <c:pt idx="724">
                  <c:v>36.820800000000901</c:v>
                </c:pt>
                <c:pt idx="725">
                  <c:v>36.820900000000904</c:v>
                </c:pt>
                <c:pt idx="726">
                  <c:v>36.821000000000907</c:v>
                </c:pt>
                <c:pt idx="727">
                  <c:v>36.821100000000911</c:v>
                </c:pt>
                <c:pt idx="728">
                  <c:v>36.821200000000914</c:v>
                </c:pt>
                <c:pt idx="729">
                  <c:v>36.821300000000917</c:v>
                </c:pt>
                <c:pt idx="730">
                  <c:v>36.821400000000921</c:v>
                </c:pt>
                <c:pt idx="731">
                  <c:v>36.821500000000924</c:v>
                </c:pt>
                <c:pt idx="732">
                  <c:v>36.821600000000927</c:v>
                </c:pt>
                <c:pt idx="733">
                  <c:v>36.821700000000931</c:v>
                </c:pt>
                <c:pt idx="734">
                  <c:v>36.821800000000934</c:v>
                </c:pt>
                <c:pt idx="735">
                  <c:v>36.821900000000937</c:v>
                </c:pt>
                <c:pt idx="736">
                  <c:v>36.822000000000941</c:v>
                </c:pt>
                <c:pt idx="737">
                  <c:v>36.822100000000944</c:v>
                </c:pt>
                <c:pt idx="738">
                  <c:v>36.822200000000947</c:v>
                </c:pt>
                <c:pt idx="739">
                  <c:v>36.822300000000951</c:v>
                </c:pt>
                <c:pt idx="740">
                  <c:v>36.822400000000954</c:v>
                </c:pt>
                <c:pt idx="741">
                  <c:v>36.822500000000957</c:v>
                </c:pt>
                <c:pt idx="742">
                  <c:v>36.822600000000961</c:v>
                </c:pt>
                <c:pt idx="743">
                  <c:v>36.822700000000964</c:v>
                </c:pt>
                <c:pt idx="744">
                  <c:v>36.822800000000967</c:v>
                </c:pt>
                <c:pt idx="745">
                  <c:v>36.822900000000971</c:v>
                </c:pt>
                <c:pt idx="746">
                  <c:v>36.823000000000974</c:v>
                </c:pt>
                <c:pt idx="747">
                  <c:v>36.823100000000977</c:v>
                </c:pt>
                <c:pt idx="748">
                  <c:v>36.82320000000098</c:v>
                </c:pt>
                <c:pt idx="749">
                  <c:v>36.823300000000984</c:v>
                </c:pt>
                <c:pt idx="750">
                  <c:v>36.823400000000987</c:v>
                </c:pt>
                <c:pt idx="751">
                  <c:v>36.82350000000099</c:v>
                </c:pt>
                <c:pt idx="752">
                  <c:v>36.823600000000994</c:v>
                </c:pt>
                <c:pt idx="753">
                  <c:v>36.823700000000997</c:v>
                </c:pt>
                <c:pt idx="754">
                  <c:v>36.823800000001</c:v>
                </c:pt>
                <c:pt idx="755">
                  <c:v>36.823900000001004</c:v>
                </c:pt>
                <c:pt idx="756">
                  <c:v>36.824000000001007</c:v>
                </c:pt>
                <c:pt idx="757">
                  <c:v>36.82410000000101</c:v>
                </c:pt>
                <c:pt idx="758">
                  <c:v>36.824200000001014</c:v>
                </c:pt>
                <c:pt idx="759">
                  <c:v>36.824300000001017</c:v>
                </c:pt>
                <c:pt idx="760">
                  <c:v>36.82440000000102</c:v>
                </c:pt>
                <c:pt idx="761">
                  <c:v>36.824500000001024</c:v>
                </c:pt>
                <c:pt idx="762">
                  <c:v>36.824600000001027</c:v>
                </c:pt>
                <c:pt idx="763">
                  <c:v>36.82470000000103</c:v>
                </c:pt>
                <c:pt idx="764">
                  <c:v>36.824800000001034</c:v>
                </c:pt>
                <c:pt idx="765">
                  <c:v>36.824900000001037</c:v>
                </c:pt>
                <c:pt idx="766">
                  <c:v>36.82500000000104</c:v>
                </c:pt>
                <c:pt idx="767">
                  <c:v>36.825100000001044</c:v>
                </c:pt>
                <c:pt idx="768">
                  <c:v>36.825200000001047</c:v>
                </c:pt>
                <c:pt idx="769">
                  <c:v>36.82530000000105</c:v>
                </c:pt>
                <c:pt idx="770">
                  <c:v>36.825400000001054</c:v>
                </c:pt>
                <c:pt idx="771">
                  <c:v>36.825500000001057</c:v>
                </c:pt>
                <c:pt idx="772">
                  <c:v>36.82560000000106</c:v>
                </c:pt>
                <c:pt idx="773">
                  <c:v>36.825700000001063</c:v>
                </c:pt>
                <c:pt idx="774">
                  <c:v>36.825800000001067</c:v>
                </c:pt>
                <c:pt idx="775">
                  <c:v>36.82590000000107</c:v>
                </c:pt>
                <c:pt idx="776">
                  <c:v>36.826000000001073</c:v>
                </c:pt>
                <c:pt idx="777">
                  <c:v>36.826100000001077</c:v>
                </c:pt>
                <c:pt idx="778">
                  <c:v>36.82620000000108</c:v>
                </c:pt>
                <c:pt idx="779">
                  <c:v>36.826300000001083</c:v>
                </c:pt>
                <c:pt idx="780">
                  <c:v>36.826400000001087</c:v>
                </c:pt>
                <c:pt idx="781">
                  <c:v>36.82650000000109</c:v>
                </c:pt>
                <c:pt idx="782">
                  <c:v>36.826600000001093</c:v>
                </c:pt>
                <c:pt idx="783">
                  <c:v>36.826700000001097</c:v>
                </c:pt>
                <c:pt idx="784">
                  <c:v>36.8268000000011</c:v>
                </c:pt>
                <c:pt idx="785">
                  <c:v>36.826900000001103</c:v>
                </c:pt>
                <c:pt idx="786">
                  <c:v>36.827000000001107</c:v>
                </c:pt>
                <c:pt idx="787">
                  <c:v>36.82710000000111</c:v>
                </c:pt>
                <c:pt idx="788">
                  <c:v>36.827200000001113</c:v>
                </c:pt>
                <c:pt idx="789">
                  <c:v>36.827300000001117</c:v>
                </c:pt>
                <c:pt idx="790">
                  <c:v>36.82740000000112</c:v>
                </c:pt>
                <c:pt idx="791">
                  <c:v>36.827500000001123</c:v>
                </c:pt>
                <c:pt idx="792">
                  <c:v>36.827600000001127</c:v>
                </c:pt>
                <c:pt idx="793">
                  <c:v>36.82770000000113</c:v>
                </c:pt>
                <c:pt idx="794">
                  <c:v>36.827800000001133</c:v>
                </c:pt>
                <c:pt idx="795">
                  <c:v>36.827900000001137</c:v>
                </c:pt>
                <c:pt idx="796">
                  <c:v>36.82800000000114</c:v>
                </c:pt>
                <c:pt idx="797">
                  <c:v>36.828100000001143</c:v>
                </c:pt>
                <c:pt idx="798">
                  <c:v>36.828200000001146</c:v>
                </c:pt>
                <c:pt idx="799">
                  <c:v>36.82830000000115</c:v>
                </c:pt>
                <c:pt idx="800">
                  <c:v>36.828400000001153</c:v>
                </c:pt>
                <c:pt idx="801">
                  <c:v>36.828500000001156</c:v>
                </c:pt>
                <c:pt idx="802">
                  <c:v>36.82860000000116</c:v>
                </c:pt>
                <c:pt idx="803">
                  <c:v>36.828700000001163</c:v>
                </c:pt>
                <c:pt idx="804">
                  <c:v>36.828800000001166</c:v>
                </c:pt>
                <c:pt idx="805">
                  <c:v>36.82890000000117</c:v>
                </c:pt>
                <c:pt idx="806">
                  <c:v>36.829000000001173</c:v>
                </c:pt>
                <c:pt idx="807">
                  <c:v>36.829100000001176</c:v>
                </c:pt>
                <c:pt idx="808">
                  <c:v>36.82920000000118</c:v>
                </c:pt>
                <c:pt idx="809">
                  <c:v>36.829300000001183</c:v>
                </c:pt>
                <c:pt idx="810">
                  <c:v>36.829400000001186</c:v>
                </c:pt>
                <c:pt idx="811">
                  <c:v>36.82950000000119</c:v>
                </c:pt>
                <c:pt idx="812">
                  <c:v>36.829600000001193</c:v>
                </c:pt>
                <c:pt idx="813">
                  <c:v>36.829700000001196</c:v>
                </c:pt>
                <c:pt idx="814">
                  <c:v>36.8298000000012</c:v>
                </c:pt>
                <c:pt idx="815">
                  <c:v>36.829900000001203</c:v>
                </c:pt>
                <c:pt idx="816">
                  <c:v>36.830000000001206</c:v>
                </c:pt>
                <c:pt idx="817">
                  <c:v>36.83010000000121</c:v>
                </c:pt>
                <c:pt idx="818">
                  <c:v>36.830200000001213</c:v>
                </c:pt>
                <c:pt idx="819">
                  <c:v>36.830300000001216</c:v>
                </c:pt>
                <c:pt idx="820">
                  <c:v>36.830400000001219</c:v>
                </c:pt>
                <c:pt idx="821">
                  <c:v>36.830500000001223</c:v>
                </c:pt>
                <c:pt idx="822">
                  <c:v>36.830600000001226</c:v>
                </c:pt>
                <c:pt idx="823">
                  <c:v>36.830700000001229</c:v>
                </c:pt>
                <c:pt idx="824">
                  <c:v>36.830800000001233</c:v>
                </c:pt>
                <c:pt idx="825">
                  <c:v>36.830900000001236</c:v>
                </c:pt>
                <c:pt idx="826">
                  <c:v>36.831000000001239</c:v>
                </c:pt>
                <c:pt idx="827">
                  <c:v>36.831100000001243</c:v>
                </c:pt>
                <c:pt idx="828">
                  <c:v>36.831200000001246</c:v>
                </c:pt>
                <c:pt idx="829">
                  <c:v>36.831300000001249</c:v>
                </c:pt>
                <c:pt idx="830">
                  <c:v>36.831400000001253</c:v>
                </c:pt>
                <c:pt idx="831">
                  <c:v>36.831500000001256</c:v>
                </c:pt>
                <c:pt idx="832">
                  <c:v>36.831600000001259</c:v>
                </c:pt>
                <c:pt idx="833">
                  <c:v>36.831700000001263</c:v>
                </c:pt>
                <c:pt idx="834">
                  <c:v>36.831800000001266</c:v>
                </c:pt>
                <c:pt idx="835">
                  <c:v>36.831900000001269</c:v>
                </c:pt>
                <c:pt idx="836">
                  <c:v>36.832000000001273</c:v>
                </c:pt>
                <c:pt idx="837">
                  <c:v>36.832100000001276</c:v>
                </c:pt>
                <c:pt idx="838">
                  <c:v>36.832200000001279</c:v>
                </c:pt>
                <c:pt idx="839">
                  <c:v>36.832300000001283</c:v>
                </c:pt>
                <c:pt idx="840">
                  <c:v>36.832400000001286</c:v>
                </c:pt>
                <c:pt idx="841">
                  <c:v>36.832500000001289</c:v>
                </c:pt>
                <c:pt idx="842">
                  <c:v>36.832600000001293</c:v>
                </c:pt>
                <c:pt idx="843">
                  <c:v>36.832700000001296</c:v>
                </c:pt>
                <c:pt idx="844">
                  <c:v>36.832800000001299</c:v>
                </c:pt>
                <c:pt idx="845">
                  <c:v>36.832900000001302</c:v>
                </c:pt>
                <c:pt idx="846">
                  <c:v>36.833000000001306</c:v>
                </c:pt>
                <c:pt idx="847">
                  <c:v>36.833100000001309</c:v>
                </c:pt>
                <c:pt idx="848">
                  <c:v>36.833200000001312</c:v>
                </c:pt>
                <c:pt idx="849">
                  <c:v>36.833300000001316</c:v>
                </c:pt>
                <c:pt idx="850">
                  <c:v>36.833400000001319</c:v>
                </c:pt>
                <c:pt idx="851">
                  <c:v>36.833500000001322</c:v>
                </c:pt>
                <c:pt idx="852">
                  <c:v>36.833600000001326</c:v>
                </c:pt>
                <c:pt idx="853">
                  <c:v>36.833700000001329</c:v>
                </c:pt>
                <c:pt idx="854">
                  <c:v>36.833800000001332</c:v>
                </c:pt>
                <c:pt idx="855">
                  <c:v>36.833900000001336</c:v>
                </c:pt>
                <c:pt idx="856">
                  <c:v>36.834000000001339</c:v>
                </c:pt>
                <c:pt idx="857">
                  <c:v>36.834100000001342</c:v>
                </c:pt>
                <c:pt idx="858">
                  <c:v>36.834200000001346</c:v>
                </c:pt>
                <c:pt idx="859">
                  <c:v>36.834300000001349</c:v>
                </c:pt>
                <c:pt idx="860">
                  <c:v>36.834400000001352</c:v>
                </c:pt>
                <c:pt idx="861">
                  <c:v>36.834500000001356</c:v>
                </c:pt>
                <c:pt idx="862">
                  <c:v>36.834600000001359</c:v>
                </c:pt>
                <c:pt idx="863">
                  <c:v>36.834700000001362</c:v>
                </c:pt>
                <c:pt idx="864">
                  <c:v>36.834800000001366</c:v>
                </c:pt>
                <c:pt idx="865">
                  <c:v>36.834900000001369</c:v>
                </c:pt>
                <c:pt idx="866">
                  <c:v>36.835000000001372</c:v>
                </c:pt>
                <c:pt idx="867">
                  <c:v>36.835100000001376</c:v>
                </c:pt>
                <c:pt idx="868">
                  <c:v>36.835200000001379</c:v>
                </c:pt>
                <c:pt idx="869">
                  <c:v>36.835300000001382</c:v>
                </c:pt>
                <c:pt idx="870">
                  <c:v>36.835400000001385</c:v>
                </c:pt>
                <c:pt idx="871">
                  <c:v>36.835500000001389</c:v>
                </c:pt>
                <c:pt idx="872">
                  <c:v>36.835600000001392</c:v>
                </c:pt>
                <c:pt idx="873">
                  <c:v>36.835700000001395</c:v>
                </c:pt>
                <c:pt idx="874">
                  <c:v>36.835800000001399</c:v>
                </c:pt>
                <c:pt idx="875">
                  <c:v>36.835900000001402</c:v>
                </c:pt>
                <c:pt idx="876">
                  <c:v>36.836000000001405</c:v>
                </c:pt>
                <c:pt idx="877">
                  <c:v>36.836100000001409</c:v>
                </c:pt>
                <c:pt idx="878">
                  <c:v>36.836200000001412</c:v>
                </c:pt>
                <c:pt idx="879">
                  <c:v>36.836300000001415</c:v>
                </c:pt>
                <c:pt idx="880">
                  <c:v>36.836400000001419</c:v>
                </c:pt>
                <c:pt idx="881">
                  <c:v>36.836500000001422</c:v>
                </c:pt>
                <c:pt idx="882">
                  <c:v>36.836600000001425</c:v>
                </c:pt>
                <c:pt idx="883">
                  <c:v>36.836700000001429</c:v>
                </c:pt>
                <c:pt idx="884">
                  <c:v>36.836800000001432</c:v>
                </c:pt>
                <c:pt idx="885">
                  <c:v>36.836900000001435</c:v>
                </c:pt>
                <c:pt idx="886">
                  <c:v>36.837000000001439</c:v>
                </c:pt>
                <c:pt idx="887">
                  <c:v>36.837100000001442</c:v>
                </c:pt>
                <c:pt idx="888">
                  <c:v>36.837200000001445</c:v>
                </c:pt>
                <c:pt idx="889">
                  <c:v>36.837300000001449</c:v>
                </c:pt>
                <c:pt idx="890">
                  <c:v>36.837400000001452</c:v>
                </c:pt>
                <c:pt idx="891">
                  <c:v>36.837500000001455</c:v>
                </c:pt>
                <c:pt idx="892">
                  <c:v>36.837600000001459</c:v>
                </c:pt>
                <c:pt idx="893">
                  <c:v>36.837700000001462</c:v>
                </c:pt>
                <c:pt idx="894">
                  <c:v>36.837800000001465</c:v>
                </c:pt>
                <c:pt idx="895">
                  <c:v>36.837900000001468</c:v>
                </c:pt>
                <c:pt idx="896">
                  <c:v>36.838000000001472</c:v>
                </c:pt>
                <c:pt idx="897">
                  <c:v>36.838100000001475</c:v>
                </c:pt>
                <c:pt idx="898">
                  <c:v>36.838200000001478</c:v>
                </c:pt>
                <c:pt idx="899">
                  <c:v>36.838300000001482</c:v>
                </c:pt>
                <c:pt idx="900">
                  <c:v>36.838400000001485</c:v>
                </c:pt>
                <c:pt idx="901">
                  <c:v>36.838500000001488</c:v>
                </c:pt>
                <c:pt idx="902">
                  <c:v>36.838600000001492</c:v>
                </c:pt>
                <c:pt idx="903">
                  <c:v>36.838700000001495</c:v>
                </c:pt>
                <c:pt idx="904">
                  <c:v>36.838800000001498</c:v>
                </c:pt>
                <c:pt idx="905">
                  <c:v>36.838900000001502</c:v>
                </c:pt>
                <c:pt idx="906">
                  <c:v>36.839000000001505</c:v>
                </c:pt>
                <c:pt idx="907">
                  <c:v>36.839100000001508</c:v>
                </c:pt>
                <c:pt idx="908">
                  <c:v>36.839200000001512</c:v>
                </c:pt>
                <c:pt idx="909">
                  <c:v>36.839300000001515</c:v>
                </c:pt>
                <c:pt idx="910">
                  <c:v>36.839400000001518</c:v>
                </c:pt>
                <c:pt idx="911">
                  <c:v>36.839500000001522</c:v>
                </c:pt>
                <c:pt idx="912">
                  <c:v>36.839600000001525</c:v>
                </c:pt>
                <c:pt idx="913">
                  <c:v>36.839700000001528</c:v>
                </c:pt>
                <c:pt idx="914">
                  <c:v>36.839800000001532</c:v>
                </c:pt>
                <c:pt idx="915">
                  <c:v>36.839900000001535</c:v>
                </c:pt>
                <c:pt idx="916">
                  <c:v>36.840000000001538</c:v>
                </c:pt>
                <c:pt idx="917">
                  <c:v>36.840100000001542</c:v>
                </c:pt>
                <c:pt idx="918">
                  <c:v>36.840200000001545</c:v>
                </c:pt>
                <c:pt idx="919">
                  <c:v>36.840300000001548</c:v>
                </c:pt>
                <c:pt idx="920">
                  <c:v>36.840400000001551</c:v>
                </c:pt>
                <c:pt idx="921">
                  <c:v>36.840500000001555</c:v>
                </c:pt>
                <c:pt idx="922">
                  <c:v>36.840600000001558</c:v>
                </c:pt>
                <c:pt idx="923">
                  <c:v>36.840700000001561</c:v>
                </c:pt>
                <c:pt idx="924">
                  <c:v>36.840800000001565</c:v>
                </c:pt>
                <c:pt idx="925">
                  <c:v>36.840900000001568</c:v>
                </c:pt>
                <c:pt idx="926">
                  <c:v>36.841000000001571</c:v>
                </c:pt>
                <c:pt idx="927">
                  <c:v>36.841100000001575</c:v>
                </c:pt>
                <c:pt idx="928">
                  <c:v>36.841200000001578</c:v>
                </c:pt>
                <c:pt idx="929">
                  <c:v>36.841300000001581</c:v>
                </c:pt>
                <c:pt idx="930">
                  <c:v>36.841400000001585</c:v>
                </c:pt>
                <c:pt idx="931">
                  <c:v>36.841500000001588</c:v>
                </c:pt>
                <c:pt idx="932">
                  <c:v>36.841600000001591</c:v>
                </c:pt>
                <c:pt idx="933">
                  <c:v>36.841700000001595</c:v>
                </c:pt>
                <c:pt idx="934">
                  <c:v>36.841800000001598</c:v>
                </c:pt>
                <c:pt idx="935">
                  <c:v>36.841900000001601</c:v>
                </c:pt>
                <c:pt idx="936">
                  <c:v>36.842000000001605</c:v>
                </c:pt>
                <c:pt idx="937">
                  <c:v>36.842100000001608</c:v>
                </c:pt>
                <c:pt idx="938">
                  <c:v>36.842200000001611</c:v>
                </c:pt>
                <c:pt idx="939">
                  <c:v>36.842300000001615</c:v>
                </c:pt>
                <c:pt idx="940">
                  <c:v>36.842400000001618</c:v>
                </c:pt>
                <c:pt idx="941">
                  <c:v>36.842500000001621</c:v>
                </c:pt>
                <c:pt idx="942">
                  <c:v>36.842600000001624</c:v>
                </c:pt>
                <c:pt idx="943">
                  <c:v>36.842700000001628</c:v>
                </c:pt>
                <c:pt idx="944">
                  <c:v>36.842800000001631</c:v>
                </c:pt>
                <c:pt idx="945">
                  <c:v>36.842900000001634</c:v>
                </c:pt>
                <c:pt idx="946">
                  <c:v>36.843000000001638</c:v>
                </c:pt>
                <c:pt idx="947">
                  <c:v>36.843100000001641</c:v>
                </c:pt>
                <c:pt idx="948">
                  <c:v>36.843200000001644</c:v>
                </c:pt>
                <c:pt idx="949">
                  <c:v>36.843300000001648</c:v>
                </c:pt>
                <c:pt idx="950">
                  <c:v>36.843400000001651</c:v>
                </c:pt>
                <c:pt idx="951">
                  <c:v>36.843500000001654</c:v>
                </c:pt>
                <c:pt idx="952">
                  <c:v>36.843600000001658</c:v>
                </c:pt>
                <c:pt idx="953">
                  <c:v>36.843700000001661</c:v>
                </c:pt>
                <c:pt idx="954">
                  <c:v>36.843800000001664</c:v>
                </c:pt>
                <c:pt idx="955">
                  <c:v>36.843900000001668</c:v>
                </c:pt>
                <c:pt idx="956">
                  <c:v>36.844000000001671</c:v>
                </c:pt>
                <c:pt idx="957">
                  <c:v>36.844100000001674</c:v>
                </c:pt>
                <c:pt idx="958">
                  <c:v>36.844200000001678</c:v>
                </c:pt>
                <c:pt idx="959">
                  <c:v>36.844300000001681</c:v>
                </c:pt>
                <c:pt idx="960">
                  <c:v>36.844400000001684</c:v>
                </c:pt>
                <c:pt idx="961">
                  <c:v>36.844500000001688</c:v>
                </c:pt>
                <c:pt idx="962">
                  <c:v>36.844600000001691</c:v>
                </c:pt>
                <c:pt idx="963">
                  <c:v>36.844700000001694</c:v>
                </c:pt>
                <c:pt idx="964">
                  <c:v>36.844800000001698</c:v>
                </c:pt>
                <c:pt idx="965">
                  <c:v>36.844900000001701</c:v>
                </c:pt>
                <c:pt idx="966">
                  <c:v>36.845000000001704</c:v>
                </c:pt>
                <c:pt idx="967">
                  <c:v>36.845100000001707</c:v>
                </c:pt>
                <c:pt idx="968">
                  <c:v>36.845200000001711</c:v>
                </c:pt>
                <c:pt idx="969">
                  <c:v>36.845300000001714</c:v>
                </c:pt>
                <c:pt idx="970">
                  <c:v>36.845400000001717</c:v>
                </c:pt>
                <c:pt idx="971">
                  <c:v>36.845500000001721</c:v>
                </c:pt>
                <c:pt idx="972">
                  <c:v>36.845600000001724</c:v>
                </c:pt>
                <c:pt idx="973">
                  <c:v>36.845700000001727</c:v>
                </c:pt>
                <c:pt idx="974">
                  <c:v>36.845800000001731</c:v>
                </c:pt>
                <c:pt idx="975">
                  <c:v>36.845900000001734</c:v>
                </c:pt>
                <c:pt idx="976">
                  <c:v>36.846000000001737</c:v>
                </c:pt>
                <c:pt idx="977">
                  <c:v>36.846100000001741</c:v>
                </c:pt>
                <c:pt idx="978">
                  <c:v>36.846200000001744</c:v>
                </c:pt>
                <c:pt idx="979">
                  <c:v>36.846300000001747</c:v>
                </c:pt>
                <c:pt idx="980">
                  <c:v>36.846400000001751</c:v>
                </c:pt>
                <c:pt idx="981">
                  <c:v>36.846500000001754</c:v>
                </c:pt>
                <c:pt idx="982">
                  <c:v>36.846600000001757</c:v>
                </c:pt>
                <c:pt idx="983">
                  <c:v>36.846700000001761</c:v>
                </c:pt>
                <c:pt idx="984">
                  <c:v>36.846800000001764</c:v>
                </c:pt>
                <c:pt idx="985">
                  <c:v>36.846900000001767</c:v>
                </c:pt>
                <c:pt idx="986">
                  <c:v>36.847000000001771</c:v>
                </c:pt>
                <c:pt idx="987">
                  <c:v>36.847100000001774</c:v>
                </c:pt>
                <c:pt idx="988">
                  <c:v>36.847200000001777</c:v>
                </c:pt>
                <c:pt idx="989">
                  <c:v>36.847300000001781</c:v>
                </c:pt>
                <c:pt idx="990">
                  <c:v>36.847400000001784</c:v>
                </c:pt>
                <c:pt idx="991">
                  <c:v>36.847500000001787</c:v>
                </c:pt>
                <c:pt idx="992">
                  <c:v>36.84760000000179</c:v>
                </c:pt>
                <c:pt idx="993">
                  <c:v>36.847700000001794</c:v>
                </c:pt>
                <c:pt idx="994">
                  <c:v>36.847800000001797</c:v>
                </c:pt>
                <c:pt idx="995">
                  <c:v>36.8479000000018</c:v>
                </c:pt>
                <c:pt idx="996">
                  <c:v>36.848000000001804</c:v>
                </c:pt>
                <c:pt idx="997">
                  <c:v>36.848100000001807</c:v>
                </c:pt>
                <c:pt idx="998">
                  <c:v>36.84820000000181</c:v>
                </c:pt>
                <c:pt idx="999">
                  <c:v>36.848300000001814</c:v>
                </c:pt>
                <c:pt idx="1000">
                  <c:v>36.848400000001817</c:v>
                </c:pt>
              </c:numCache>
            </c:numRef>
          </c:xVal>
          <c:yVal>
            <c:numRef>
              <c:f>Calculs!$Q$4:$Q$1004</c:f>
              <c:numCache>
                <c:formatCode>0.00</c:formatCode>
                <c:ptCount val="1001"/>
                <c:pt idx="0">
                  <c:v>0</c:v>
                </c:pt>
                <c:pt idx="1">
                  <c:v>62.499999999998664</c:v>
                </c:pt>
                <c:pt idx="2">
                  <c:v>187.49999999999599</c:v>
                </c:pt>
                <c:pt idx="3">
                  <c:v>240.00000000000108</c:v>
                </c:pt>
                <c:pt idx="4">
                  <c:v>220.00000000000148</c:v>
                </c:pt>
                <c:pt idx="5">
                  <c:v>209.56896551724145</c:v>
                </c:pt>
                <c:pt idx="6">
                  <c:v>208.70689655172424</c:v>
                </c:pt>
                <c:pt idx="7">
                  <c:v>207.844827586207</c:v>
                </c:pt>
                <c:pt idx="8">
                  <c:v>206.98275862068979</c:v>
                </c:pt>
                <c:pt idx="9">
                  <c:v>206.12068965517258</c:v>
                </c:pt>
                <c:pt idx="10">
                  <c:v>205.25862068965534</c:v>
                </c:pt>
                <c:pt idx="11">
                  <c:v>204.39655172413813</c:v>
                </c:pt>
                <c:pt idx="12">
                  <c:v>203.5344827586209</c:v>
                </c:pt>
                <c:pt idx="13">
                  <c:v>202.67241379310369</c:v>
                </c:pt>
                <c:pt idx="14">
                  <c:v>201.81034482758645</c:v>
                </c:pt>
                <c:pt idx="15">
                  <c:v>200.94827586206924</c:v>
                </c:pt>
                <c:pt idx="16">
                  <c:v>200.086206896552</c:v>
                </c:pt>
                <c:pt idx="17">
                  <c:v>199.22413793103479</c:v>
                </c:pt>
                <c:pt idx="18">
                  <c:v>198.36206896551755</c:v>
                </c:pt>
                <c:pt idx="19">
                  <c:v>197.50000000000034</c:v>
                </c:pt>
                <c:pt idx="20">
                  <c:v>196.63793103448313</c:v>
                </c:pt>
                <c:pt idx="21">
                  <c:v>195.77586206896589</c:v>
                </c:pt>
                <c:pt idx="22">
                  <c:v>194.91379310344868</c:v>
                </c:pt>
                <c:pt idx="23">
                  <c:v>194.05172413793144</c:v>
                </c:pt>
                <c:pt idx="24">
                  <c:v>193.18965517241423</c:v>
                </c:pt>
                <c:pt idx="25">
                  <c:v>192.327586206897</c:v>
                </c:pt>
                <c:pt idx="26">
                  <c:v>191.46551724137979</c:v>
                </c:pt>
                <c:pt idx="27">
                  <c:v>190.60344827586255</c:v>
                </c:pt>
                <c:pt idx="28">
                  <c:v>189.74137931034534</c:v>
                </c:pt>
                <c:pt idx="29">
                  <c:v>188.8793103448281</c:v>
                </c:pt>
                <c:pt idx="30">
                  <c:v>188.01724137931089</c:v>
                </c:pt>
                <c:pt idx="31">
                  <c:v>187.15517241379365</c:v>
                </c:pt>
                <c:pt idx="32">
                  <c:v>186.29310344827644</c:v>
                </c:pt>
                <c:pt idx="33">
                  <c:v>185.43103448275923</c:v>
                </c:pt>
                <c:pt idx="34">
                  <c:v>184.56896551724199</c:v>
                </c:pt>
                <c:pt idx="35">
                  <c:v>183.70689655172475</c:v>
                </c:pt>
                <c:pt idx="36">
                  <c:v>182.84482758620754</c:v>
                </c:pt>
                <c:pt idx="37">
                  <c:v>181.98275862069033</c:v>
                </c:pt>
                <c:pt idx="38">
                  <c:v>181.12068965517309</c:v>
                </c:pt>
                <c:pt idx="39">
                  <c:v>180.25862068965588</c:v>
                </c:pt>
                <c:pt idx="40">
                  <c:v>179.39655172413865</c:v>
                </c:pt>
                <c:pt idx="41">
                  <c:v>178.53448275862144</c:v>
                </c:pt>
                <c:pt idx="42">
                  <c:v>177.6724137931042</c:v>
                </c:pt>
                <c:pt idx="43">
                  <c:v>176.81034482758699</c:v>
                </c:pt>
                <c:pt idx="44">
                  <c:v>175.94827586206975</c:v>
                </c:pt>
                <c:pt idx="45">
                  <c:v>175.08620689655254</c:v>
                </c:pt>
                <c:pt idx="46">
                  <c:v>174.22413793103533</c:v>
                </c:pt>
                <c:pt idx="47">
                  <c:v>173.36206896551809</c:v>
                </c:pt>
                <c:pt idx="48">
                  <c:v>172.50000000000085</c:v>
                </c:pt>
                <c:pt idx="49">
                  <c:v>171.63793103448364</c:v>
                </c:pt>
                <c:pt idx="50">
                  <c:v>170.77586206896643</c:v>
                </c:pt>
                <c:pt idx="51">
                  <c:v>169.91379310344919</c:v>
                </c:pt>
                <c:pt idx="52">
                  <c:v>169.05172413793198</c:v>
                </c:pt>
                <c:pt idx="53">
                  <c:v>168.18965517241475</c:v>
                </c:pt>
                <c:pt idx="54">
                  <c:v>167.32758620689754</c:v>
                </c:pt>
                <c:pt idx="55">
                  <c:v>166.46551724138033</c:v>
                </c:pt>
                <c:pt idx="56">
                  <c:v>165.60344827586309</c:v>
                </c:pt>
                <c:pt idx="57">
                  <c:v>164.74137931034588</c:v>
                </c:pt>
                <c:pt idx="58">
                  <c:v>163.87931034482864</c:v>
                </c:pt>
                <c:pt idx="59">
                  <c:v>163.01724137931143</c:v>
                </c:pt>
                <c:pt idx="60">
                  <c:v>162.15517241379419</c:v>
                </c:pt>
                <c:pt idx="61">
                  <c:v>161.29310344827698</c:v>
                </c:pt>
                <c:pt idx="62">
                  <c:v>160.43103448275974</c:v>
                </c:pt>
                <c:pt idx="63">
                  <c:v>158.75000000000333</c:v>
                </c:pt>
                <c:pt idx="64">
                  <c:v>156.25000000000338</c:v>
                </c:pt>
                <c:pt idx="65">
                  <c:v>153.75000000000344</c:v>
                </c:pt>
                <c:pt idx="66">
                  <c:v>151.2500000000035</c:v>
                </c:pt>
                <c:pt idx="67">
                  <c:v>148.00000000000568</c:v>
                </c:pt>
                <c:pt idx="68">
                  <c:v>144.00000000000577</c:v>
                </c:pt>
                <c:pt idx="69">
                  <c:v>138.66666666667643</c:v>
                </c:pt>
                <c:pt idx="70">
                  <c:v>132.00000000000992</c:v>
                </c:pt>
                <c:pt idx="71">
                  <c:v>125.33333333334338</c:v>
                </c:pt>
                <c:pt idx="72">
                  <c:v>118.66666666667686</c:v>
                </c:pt>
                <c:pt idx="73">
                  <c:v>112.00000000001033</c:v>
                </c:pt>
                <c:pt idx="74">
                  <c:v>105.3333333333438</c:v>
                </c:pt>
                <c:pt idx="75">
                  <c:v>98.666666666677287</c:v>
                </c:pt>
                <c:pt idx="76">
                  <c:v>92.000000000010758</c:v>
                </c:pt>
                <c:pt idx="77">
                  <c:v>85.333333333344228</c:v>
                </c:pt>
                <c:pt idx="78">
                  <c:v>78.666666666677713</c:v>
                </c:pt>
                <c:pt idx="79">
                  <c:v>72.000000000011184</c:v>
                </c:pt>
                <c:pt idx="80">
                  <c:v>65.333333333344655</c:v>
                </c:pt>
                <c:pt idx="81">
                  <c:v>60.250000000006018</c:v>
                </c:pt>
                <c:pt idx="82">
                  <c:v>56.750000000006082</c:v>
                </c:pt>
                <c:pt idx="83">
                  <c:v>53.250000000006153</c:v>
                </c:pt>
                <c:pt idx="84">
                  <c:v>49.750000000006224</c:v>
                </c:pt>
                <c:pt idx="85">
                  <c:v>46.250000000006295</c:v>
                </c:pt>
                <c:pt idx="86">
                  <c:v>42.750000000006374</c:v>
                </c:pt>
                <c:pt idx="87">
                  <c:v>39.250000000006452</c:v>
                </c:pt>
                <c:pt idx="88">
                  <c:v>35.750000000006523</c:v>
                </c:pt>
                <c:pt idx="89">
                  <c:v>32.750000000004718</c:v>
                </c:pt>
                <c:pt idx="90">
                  <c:v>30.250000000004775</c:v>
                </c:pt>
                <c:pt idx="91">
                  <c:v>27.750000000004832</c:v>
                </c:pt>
                <c:pt idx="92">
                  <c:v>25.250000000004885</c:v>
                </c:pt>
                <c:pt idx="93">
                  <c:v>22.875000000004444</c:v>
                </c:pt>
                <c:pt idx="94">
                  <c:v>20.625000000004487</c:v>
                </c:pt>
                <c:pt idx="95">
                  <c:v>18.37500000000453</c:v>
                </c:pt>
                <c:pt idx="96">
                  <c:v>16.125000000004576</c:v>
                </c:pt>
                <c:pt idx="97">
                  <c:v>14.375000000002567</c:v>
                </c:pt>
                <c:pt idx="98">
                  <c:v>13.125000000002595</c:v>
                </c:pt>
                <c:pt idx="99">
                  <c:v>11.875000000002622</c:v>
                </c:pt>
                <c:pt idx="100">
                  <c:v>10.62500000000265</c:v>
                </c:pt>
                <c:pt idx="101">
                  <c:v>9.3750000000026787</c:v>
                </c:pt>
                <c:pt idx="102">
                  <c:v>8.1250000000027072</c:v>
                </c:pt>
                <c:pt idx="103">
                  <c:v>6.8750000000027338</c:v>
                </c:pt>
                <c:pt idx="104">
                  <c:v>5.6250000000027613</c:v>
                </c:pt>
                <c:pt idx="105">
                  <c:v>4.3750000000027898</c:v>
                </c:pt>
                <c:pt idx="106">
                  <c:v>3.1250000000028173</c:v>
                </c:pt>
                <c:pt idx="107">
                  <c:v>1.8750000000028457</c:v>
                </c:pt>
                <c:pt idx="108">
                  <c:v>0.62500000000287237</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35.100000000000186</c:v>
                </c:pt>
                <c:pt idx="500">
                  <c:v>35.200000000000188</c:v>
                </c:pt>
                <c:pt idx="501">
                  <c:v>35.300000000000189</c:v>
                </c:pt>
                <c:pt idx="502">
                  <c:v>35.40000000000019</c:v>
                </c:pt>
                <c:pt idx="503">
                  <c:v>35.500000000000192</c:v>
                </c:pt>
                <c:pt idx="504">
                  <c:v>35.600000000000193</c:v>
                </c:pt>
                <c:pt idx="505">
                  <c:v>35.700000000000195</c:v>
                </c:pt>
                <c:pt idx="506">
                  <c:v>35.800000000000196</c:v>
                </c:pt>
                <c:pt idx="507">
                  <c:v>35.900000000000198</c:v>
                </c:pt>
                <c:pt idx="508">
                  <c:v>36.000000000000199</c:v>
                </c:pt>
                <c:pt idx="509">
                  <c:v>36.1000000000002</c:v>
                </c:pt>
                <c:pt idx="510">
                  <c:v>36.200000000000202</c:v>
                </c:pt>
                <c:pt idx="511">
                  <c:v>36.300000000000203</c:v>
                </c:pt>
                <c:pt idx="512">
                  <c:v>36.400000000000205</c:v>
                </c:pt>
                <c:pt idx="513">
                  <c:v>36.500000000000206</c:v>
                </c:pt>
                <c:pt idx="514">
                  <c:v>36.600000000000207</c:v>
                </c:pt>
                <c:pt idx="515">
                  <c:v>36.700000000000209</c:v>
                </c:pt>
                <c:pt idx="516">
                  <c:v>36.80000000000021</c:v>
                </c:pt>
                <c:pt idx="517">
                  <c:v>36.800100000000214</c:v>
                </c:pt>
                <c:pt idx="518">
                  <c:v>36.800200000000217</c:v>
                </c:pt>
                <c:pt idx="519">
                  <c:v>36.80030000000022</c:v>
                </c:pt>
                <c:pt idx="520">
                  <c:v>36.800400000000224</c:v>
                </c:pt>
                <c:pt idx="521">
                  <c:v>36.800500000000227</c:v>
                </c:pt>
                <c:pt idx="522">
                  <c:v>36.80060000000023</c:v>
                </c:pt>
                <c:pt idx="523">
                  <c:v>36.800700000000234</c:v>
                </c:pt>
                <c:pt idx="524">
                  <c:v>36.800800000000237</c:v>
                </c:pt>
                <c:pt idx="525">
                  <c:v>36.80090000000024</c:v>
                </c:pt>
                <c:pt idx="526">
                  <c:v>36.801000000000244</c:v>
                </c:pt>
                <c:pt idx="527">
                  <c:v>36.801100000000247</c:v>
                </c:pt>
                <c:pt idx="528">
                  <c:v>36.80120000000025</c:v>
                </c:pt>
                <c:pt idx="529">
                  <c:v>36.801300000000253</c:v>
                </c:pt>
                <c:pt idx="530">
                  <c:v>36.801400000000257</c:v>
                </c:pt>
                <c:pt idx="531">
                  <c:v>36.80150000000026</c:v>
                </c:pt>
                <c:pt idx="532">
                  <c:v>36.801600000000263</c:v>
                </c:pt>
                <c:pt idx="533">
                  <c:v>36.801700000000267</c:v>
                </c:pt>
                <c:pt idx="534">
                  <c:v>36.80180000000027</c:v>
                </c:pt>
                <c:pt idx="535">
                  <c:v>36.801900000000273</c:v>
                </c:pt>
                <c:pt idx="536">
                  <c:v>36.802000000000277</c:v>
                </c:pt>
                <c:pt idx="537">
                  <c:v>36.80210000000028</c:v>
                </c:pt>
                <c:pt idx="538">
                  <c:v>36.802200000000283</c:v>
                </c:pt>
                <c:pt idx="539">
                  <c:v>36.802300000000287</c:v>
                </c:pt>
                <c:pt idx="540">
                  <c:v>36.80240000000029</c:v>
                </c:pt>
                <c:pt idx="541">
                  <c:v>36.802500000000293</c:v>
                </c:pt>
                <c:pt idx="542">
                  <c:v>36.802600000000297</c:v>
                </c:pt>
                <c:pt idx="543">
                  <c:v>36.8027000000003</c:v>
                </c:pt>
                <c:pt idx="544">
                  <c:v>36.802800000000303</c:v>
                </c:pt>
                <c:pt idx="545">
                  <c:v>36.802900000000307</c:v>
                </c:pt>
                <c:pt idx="546">
                  <c:v>36.80300000000031</c:v>
                </c:pt>
                <c:pt idx="547">
                  <c:v>36.803100000000313</c:v>
                </c:pt>
                <c:pt idx="548">
                  <c:v>36.803200000000317</c:v>
                </c:pt>
                <c:pt idx="549">
                  <c:v>36.80330000000032</c:v>
                </c:pt>
                <c:pt idx="550">
                  <c:v>36.803400000000323</c:v>
                </c:pt>
                <c:pt idx="551">
                  <c:v>36.803500000000327</c:v>
                </c:pt>
                <c:pt idx="552">
                  <c:v>36.80360000000033</c:v>
                </c:pt>
                <c:pt idx="553">
                  <c:v>36.803700000000333</c:v>
                </c:pt>
                <c:pt idx="554">
                  <c:v>36.803800000000336</c:v>
                </c:pt>
                <c:pt idx="555">
                  <c:v>36.80390000000034</c:v>
                </c:pt>
                <c:pt idx="556">
                  <c:v>36.804000000000343</c:v>
                </c:pt>
                <c:pt idx="557">
                  <c:v>36.804100000000346</c:v>
                </c:pt>
                <c:pt idx="558">
                  <c:v>36.80420000000035</c:v>
                </c:pt>
                <c:pt idx="559">
                  <c:v>36.804300000000353</c:v>
                </c:pt>
                <c:pt idx="560">
                  <c:v>36.804400000000356</c:v>
                </c:pt>
                <c:pt idx="561">
                  <c:v>36.80450000000036</c:v>
                </c:pt>
                <c:pt idx="562">
                  <c:v>36.804600000000363</c:v>
                </c:pt>
                <c:pt idx="563">
                  <c:v>36.804700000000366</c:v>
                </c:pt>
                <c:pt idx="564">
                  <c:v>36.80480000000037</c:v>
                </c:pt>
                <c:pt idx="565">
                  <c:v>36.804900000000373</c:v>
                </c:pt>
                <c:pt idx="566">
                  <c:v>36.805000000000376</c:v>
                </c:pt>
                <c:pt idx="567">
                  <c:v>36.80510000000038</c:v>
                </c:pt>
                <c:pt idx="568">
                  <c:v>36.805200000000383</c:v>
                </c:pt>
                <c:pt idx="569">
                  <c:v>36.805300000000386</c:v>
                </c:pt>
                <c:pt idx="570">
                  <c:v>36.80540000000039</c:v>
                </c:pt>
                <c:pt idx="571">
                  <c:v>36.805500000000393</c:v>
                </c:pt>
                <c:pt idx="572">
                  <c:v>36.805600000000396</c:v>
                </c:pt>
                <c:pt idx="573">
                  <c:v>36.8057000000004</c:v>
                </c:pt>
                <c:pt idx="574">
                  <c:v>36.805800000000403</c:v>
                </c:pt>
                <c:pt idx="575">
                  <c:v>36.805900000000406</c:v>
                </c:pt>
                <c:pt idx="576">
                  <c:v>36.806000000000409</c:v>
                </c:pt>
                <c:pt idx="577">
                  <c:v>36.806100000000413</c:v>
                </c:pt>
                <c:pt idx="578">
                  <c:v>36.806200000000416</c:v>
                </c:pt>
                <c:pt idx="579">
                  <c:v>36.806300000000419</c:v>
                </c:pt>
                <c:pt idx="580">
                  <c:v>36.806400000000423</c:v>
                </c:pt>
                <c:pt idx="581">
                  <c:v>36.806500000000426</c:v>
                </c:pt>
                <c:pt idx="582">
                  <c:v>36.806600000000429</c:v>
                </c:pt>
                <c:pt idx="583">
                  <c:v>36.806700000000433</c:v>
                </c:pt>
                <c:pt idx="584">
                  <c:v>36.806800000000436</c:v>
                </c:pt>
                <c:pt idx="585">
                  <c:v>36.806900000000439</c:v>
                </c:pt>
                <c:pt idx="586">
                  <c:v>36.807000000000443</c:v>
                </c:pt>
                <c:pt idx="587">
                  <c:v>36.807100000000446</c:v>
                </c:pt>
                <c:pt idx="588">
                  <c:v>36.807200000000449</c:v>
                </c:pt>
                <c:pt idx="589">
                  <c:v>36.807300000000453</c:v>
                </c:pt>
                <c:pt idx="590">
                  <c:v>36.807400000000456</c:v>
                </c:pt>
                <c:pt idx="591">
                  <c:v>36.807500000000459</c:v>
                </c:pt>
                <c:pt idx="592">
                  <c:v>36.807600000000463</c:v>
                </c:pt>
                <c:pt idx="593">
                  <c:v>36.807700000000466</c:v>
                </c:pt>
                <c:pt idx="594">
                  <c:v>36.807800000000469</c:v>
                </c:pt>
                <c:pt idx="595">
                  <c:v>36.807900000000473</c:v>
                </c:pt>
                <c:pt idx="596">
                  <c:v>36.808000000000476</c:v>
                </c:pt>
                <c:pt idx="597">
                  <c:v>36.808100000000479</c:v>
                </c:pt>
                <c:pt idx="598">
                  <c:v>36.808200000000483</c:v>
                </c:pt>
                <c:pt idx="599">
                  <c:v>36.808300000000486</c:v>
                </c:pt>
                <c:pt idx="600">
                  <c:v>36.808400000000489</c:v>
                </c:pt>
                <c:pt idx="601">
                  <c:v>36.808500000000492</c:v>
                </c:pt>
                <c:pt idx="602">
                  <c:v>36.808600000000496</c:v>
                </c:pt>
                <c:pt idx="603">
                  <c:v>36.808700000000499</c:v>
                </c:pt>
                <c:pt idx="604">
                  <c:v>36.808800000000502</c:v>
                </c:pt>
                <c:pt idx="605">
                  <c:v>36.808900000000506</c:v>
                </c:pt>
                <c:pt idx="606">
                  <c:v>36.809000000000509</c:v>
                </c:pt>
                <c:pt idx="607">
                  <c:v>36.809100000000512</c:v>
                </c:pt>
                <c:pt idx="608">
                  <c:v>36.809200000000516</c:v>
                </c:pt>
                <c:pt idx="609">
                  <c:v>36.809300000000519</c:v>
                </c:pt>
                <c:pt idx="610">
                  <c:v>36.809400000000522</c:v>
                </c:pt>
                <c:pt idx="611">
                  <c:v>36.809500000000526</c:v>
                </c:pt>
                <c:pt idx="612">
                  <c:v>36.809600000000529</c:v>
                </c:pt>
                <c:pt idx="613">
                  <c:v>36.809700000000532</c:v>
                </c:pt>
                <c:pt idx="614">
                  <c:v>36.809800000000536</c:v>
                </c:pt>
                <c:pt idx="615">
                  <c:v>36.809900000000539</c:v>
                </c:pt>
                <c:pt idx="616">
                  <c:v>36.810000000000542</c:v>
                </c:pt>
                <c:pt idx="617">
                  <c:v>36.810100000000546</c:v>
                </c:pt>
                <c:pt idx="618">
                  <c:v>36.810200000000549</c:v>
                </c:pt>
                <c:pt idx="619">
                  <c:v>36.810300000000552</c:v>
                </c:pt>
                <c:pt idx="620">
                  <c:v>36.810400000000556</c:v>
                </c:pt>
                <c:pt idx="621">
                  <c:v>36.810500000000559</c:v>
                </c:pt>
                <c:pt idx="622">
                  <c:v>36.810600000000562</c:v>
                </c:pt>
                <c:pt idx="623">
                  <c:v>36.810700000000566</c:v>
                </c:pt>
                <c:pt idx="624">
                  <c:v>36.810800000000569</c:v>
                </c:pt>
                <c:pt idx="625">
                  <c:v>36.810900000000572</c:v>
                </c:pt>
                <c:pt idx="626">
                  <c:v>36.811000000000575</c:v>
                </c:pt>
                <c:pt idx="627">
                  <c:v>36.811100000000579</c:v>
                </c:pt>
                <c:pt idx="628">
                  <c:v>36.811200000000582</c:v>
                </c:pt>
                <c:pt idx="629">
                  <c:v>36.811300000000585</c:v>
                </c:pt>
                <c:pt idx="630">
                  <c:v>36.811400000000589</c:v>
                </c:pt>
                <c:pt idx="631">
                  <c:v>36.811500000000592</c:v>
                </c:pt>
                <c:pt idx="632">
                  <c:v>36.811600000000595</c:v>
                </c:pt>
                <c:pt idx="633">
                  <c:v>36.811700000000599</c:v>
                </c:pt>
                <c:pt idx="634">
                  <c:v>36.811800000000602</c:v>
                </c:pt>
                <c:pt idx="635">
                  <c:v>36.811900000000605</c:v>
                </c:pt>
                <c:pt idx="636">
                  <c:v>36.812000000000609</c:v>
                </c:pt>
                <c:pt idx="637">
                  <c:v>36.812100000000612</c:v>
                </c:pt>
                <c:pt idx="638">
                  <c:v>36.812200000000615</c:v>
                </c:pt>
                <c:pt idx="639">
                  <c:v>36.812300000000619</c:v>
                </c:pt>
                <c:pt idx="640">
                  <c:v>36.812400000000622</c:v>
                </c:pt>
                <c:pt idx="641">
                  <c:v>36.812500000000625</c:v>
                </c:pt>
                <c:pt idx="642">
                  <c:v>36.812600000000629</c:v>
                </c:pt>
                <c:pt idx="643">
                  <c:v>36.812700000000632</c:v>
                </c:pt>
                <c:pt idx="644">
                  <c:v>36.812800000000635</c:v>
                </c:pt>
                <c:pt idx="645">
                  <c:v>36.812900000000639</c:v>
                </c:pt>
                <c:pt idx="646">
                  <c:v>36.813000000000642</c:v>
                </c:pt>
                <c:pt idx="647">
                  <c:v>36.813100000000645</c:v>
                </c:pt>
                <c:pt idx="648">
                  <c:v>36.813200000000649</c:v>
                </c:pt>
                <c:pt idx="649">
                  <c:v>36.813300000000652</c:v>
                </c:pt>
                <c:pt idx="650">
                  <c:v>36.813400000000655</c:v>
                </c:pt>
                <c:pt idx="651">
                  <c:v>36.813500000000658</c:v>
                </c:pt>
                <c:pt idx="652">
                  <c:v>36.813600000000662</c:v>
                </c:pt>
                <c:pt idx="653">
                  <c:v>36.813700000000665</c:v>
                </c:pt>
                <c:pt idx="654">
                  <c:v>36.813800000000668</c:v>
                </c:pt>
                <c:pt idx="655">
                  <c:v>36.813900000000672</c:v>
                </c:pt>
                <c:pt idx="656">
                  <c:v>36.814000000000675</c:v>
                </c:pt>
                <c:pt idx="657">
                  <c:v>36.814100000000678</c:v>
                </c:pt>
                <c:pt idx="658">
                  <c:v>36.814200000000682</c:v>
                </c:pt>
                <c:pt idx="659">
                  <c:v>36.814300000000685</c:v>
                </c:pt>
                <c:pt idx="660">
                  <c:v>36.814400000000688</c:v>
                </c:pt>
                <c:pt idx="661">
                  <c:v>36.814500000000692</c:v>
                </c:pt>
                <c:pt idx="662">
                  <c:v>36.814600000000695</c:v>
                </c:pt>
                <c:pt idx="663">
                  <c:v>36.814700000000698</c:v>
                </c:pt>
                <c:pt idx="664">
                  <c:v>36.814800000000702</c:v>
                </c:pt>
                <c:pt idx="665">
                  <c:v>36.814900000000705</c:v>
                </c:pt>
                <c:pt idx="666">
                  <c:v>36.815000000000708</c:v>
                </c:pt>
                <c:pt idx="667">
                  <c:v>36.815100000000712</c:v>
                </c:pt>
                <c:pt idx="668">
                  <c:v>36.815200000000715</c:v>
                </c:pt>
                <c:pt idx="669">
                  <c:v>36.815300000000718</c:v>
                </c:pt>
                <c:pt idx="670">
                  <c:v>36.815400000000722</c:v>
                </c:pt>
                <c:pt idx="671">
                  <c:v>36.815500000000725</c:v>
                </c:pt>
                <c:pt idx="672">
                  <c:v>36.815600000000728</c:v>
                </c:pt>
                <c:pt idx="673">
                  <c:v>36.815700000000732</c:v>
                </c:pt>
                <c:pt idx="674">
                  <c:v>36.815800000000735</c:v>
                </c:pt>
                <c:pt idx="675">
                  <c:v>36.815900000000738</c:v>
                </c:pt>
                <c:pt idx="676">
                  <c:v>36.816000000000741</c:v>
                </c:pt>
                <c:pt idx="677">
                  <c:v>36.816100000000745</c:v>
                </c:pt>
                <c:pt idx="678">
                  <c:v>36.816200000000748</c:v>
                </c:pt>
                <c:pt idx="679">
                  <c:v>36.816300000000751</c:v>
                </c:pt>
                <c:pt idx="680">
                  <c:v>36.816400000000755</c:v>
                </c:pt>
                <c:pt idx="681">
                  <c:v>36.816500000000758</c:v>
                </c:pt>
                <c:pt idx="682">
                  <c:v>36.816600000000761</c:v>
                </c:pt>
                <c:pt idx="683">
                  <c:v>36.816700000000765</c:v>
                </c:pt>
                <c:pt idx="684">
                  <c:v>36.816800000000768</c:v>
                </c:pt>
                <c:pt idx="685">
                  <c:v>36.816900000000771</c:v>
                </c:pt>
                <c:pt idx="686">
                  <c:v>36.817000000000775</c:v>
                </c:pt>
                <c:pt idx="687">
                  <c:v>36.817100000000778</c:v>
                </c:pt>
                <c:pt idx="688">
                  <c:v>36.817200000000781</c:v>
                </c:pt>
                <c:pt idx="689">
                  <c:v>36.817300000000785</c:v>
                </c:pt>
                <c:pt idx="690">
                  <c:v>36.817400000000788</c:v>
                </c:pt>
                <c:pt idx="691">
                  <c:v>36.817500000000791</c:v>
                </c:pt>
                <c:pt idx="692">
                  <c:v>36.817600000000795</c:v>
                </c:pt>
                <c:pt idx="693">
                  <c:v>36.817700000000798</c:v>
                </c:pt>
                <c:pt idx="694">
                  <c:v>36.817800000000801</c:v>
                </c:pt>
                <c:pt idx="695">
                  <c:v>36.817900000000805</c:v>
                </c:pt>
                <c:pt idx="696">
                  <c:v>36.818000000000808</c:v>
                </c:pt>
                <c:pt idx="697">
                  <c:v>36.818100000000811</c:v>
                </c:pt>
                <c:pt idx="698">
                  <c:v>36.818200000000814</c:v>
                </c:pt>
                <c:pt idx="699">
                  <c:v>36.818300000000818</c:v>
                </c:pt>
                <c:pt idx="700">
                  <c:v>36.818400000000821</c:v>
                </c:pt>
                <c:pt idx="701">
                  <c:v>36.818500000000824</c:v>
                </c:pt>
                <c:pt idx="702">
                  <c:v>36.818600000000828</c:v>
                </c:pt>
                <c:pt idx="703">
                  <c:v>36.818700000000831</c:v>
                </c:pt>
                <c:pt idx="704">
                  <c:v>36.818800000000834</c:v>
                </c:pt>
                <c:pt idx="705">
                  <c:v>36.818900000000838</c:v>
                </c:pt>
                <c:pt idx="706">
                  <c:v>36.819000000000841</c:v>
                </c:pt>
                <c:pt idx="707">
                  <c:v>36.819100000000844</c:v>
                </c:pt>
                <c:pt idx="708">
                  <c:v>36.819200000000848</c:v>
                </c:pt>
                <c:pt idx="709">
                  <c:v>36.819300000000851</c:v>
                </c:pt>
                <c:pt idx="710">
                  <c:v>36.819400000000854</c:v>
                </c:pt>
                <c:pt idx="711">
                  <c:v>36.819500000000858</c:v>
                </c:pt>
                <c:pt idx="712">
                  <c:v>36.819600000000861</c:v>
                </c:pt>
                <c:pt idx="713">
                  <c:v>36.819700000000864</c:v>
                </c:pt>
                <c:pt idx="714">
                  <c:v>36.819800000000868</c:v>
                </c:pt>
                <c:pt idx="715">
                  <c:v>36.819900000000871</c:v>
                </c:pt>
                <c:pt idx="716">
                  <c:v>36.820000000000874</c:v>
                </c:pt>
                <c:pt idx="717">
                  <c:v>36.820100000000878</c:v>
                </c:pt>
                <c:pt idx="718">
                  <c:v>36.820200000000881</c:v>
                </c:pt>
                <c:pt idx="719">
                  <c:v>36.820300000000884</c:v>
                </c:pt>
                <c:pt idx="720">
                  <c:v>36.820400000000888</c:v>
                </c:pt>
                <c:pt idx="721">
                  <c:v>36.820500000000891</c:v>
                </c:pt>
                <c:pt idx="722">
                  <c:v>36.820600000000894</c:v>
                </c:pt>
                <c:pt idx="723">
                  <c:v>36.820700000000897</c:v>
                </c:pt>
                <c:pt idx="724">
                  <c:v>36.820800000000901</c:v>
                </c:pt>
                <c:pt idx="725">
                  <c:v>36.820900000000904</c:v>
                </c:pt>
                <c:pt idx="726">
                  <c:v>36.821000000000907</c:v>
                </c:pt>
                <c:pt idx="727">
                  <c:v>36.821100000000911</c:v>
                </c:pt>
                <c:pt idx="728">
                  <c:v>36.821200000000914</c:v>
                </c:pt>
                <c:pt idx="729">
                  <c:v>36.821300000000917</c:v>
                </c:pt>
                <c:pt idx="730">
                  <c:v>36.821400000000921</c:v>
                </c:pt>
                <c:pt idx="731">
                  <c:v>36.821500000000924</c:v>
                </c:pt>
                <c:pt idx="732">
                  <c:v>36.821600000000927</c:v>
                </c:pt>
                <c:pt idx="733">
                  <c:v>36.821700000000931</c:v>
                </c:pt>
                <c:pt idx="734">
                  <c:v>36.821800000000934</c:v>
                </c:pt>
                <c:pt idx="735">
                  <c:v>36.821900000000937</c:v>
                </c:pt>
                <c:pt idx="736">
                  <c:v>36.822000000000941</c:v>
                </c:pt>
                <c:pt idx="737">
                  <c:v>36.822100000000944</c:v>
                </c:pt>
                <c:pt idx="738">
                  <c:v>36.822200000000947</c:v>
                </c:pt>
                <c:pt idx="739">
                  <c:v>36.822300000000951</c:v>
                </c:pt>
                <c:pt idx="740">
                  <c:v>36.822400000000954</c:v>
                </c:pt>
                <c:pt idx="741">
                  <c:v>36.822500000000957</c:v>
                </c:pt>
                <c:pt idx="742">
                  <c:v>36.822600000000961</c:v>
                </c:pt>
                <c:pt idx="743">
                  <c:v>36.822700000000964</c:v>
                </c:pt>
                <c:pt idx="744">
                  <c:v>36.822800000000967</c:v>
                </c:pt>
                <c:pt idx="745">
                  <c:v>36.822900000000971</c:v>
                </c:pt>
                <c:pt idx="746">
                  <c:v>36.823000000000974</c:v>
                </c:pt>
                <c:pt idx="747">
                  <c:v>36.823100000000977</c:v>
                </c:pt>
                <c:pt idx="748">
                  <c:v>36.82320000000098</c:v>
                </c:pt>
                <c:pt idx="749">
                  <c:v>36.823300000000984</c:v>
                </c:pt>
                <c:pt idx="750">
                  <c:v>36.823400000000987</c:v>
                </c:pt>
                <c:pt idx="751">
                  <c:v>36.82350000000099</c:v>
                </c:pt>
                <c:pt idx="752">
                  <c:v>36.823600000000994</c:v>
                </c:pt>
                <c:pt idx="753">
                  <c:v>36.823700000000997</c:v>
                </c:pt>
                <c:pt idx="754">
                  <c:v>36.823800000001</c:v>
                </c:pt>
                <c:pt idx="755">
                  <c:v>36.823900000001004</c:v>
                </c:pt>
                <c:pt idx="756">
                  <c:v>36.824000000001007</c:v>
                </c:pt>
                <c:pt idx="757">
                  <c:v>36.82410000000101</c:v>
                </c:pt>
                <c:pt idx="758">
                  <c:v>36.824200000001014</c:v>
                </c:pt>
                <c:pt idx="759">
                  <c:v>36.824300000001017</c:v>
                </c:pt>
                <c:pt idx="760">
                  <c:v>36.82440000000102</c:v>
                </c:pt>
                <c:pt idx="761">
                  <c:v>36.824500000001024</c:v>
                </c:pt>
                <c:pt idx="762">
                  <c:v>36.824600000001027</c:v>
                </c:pt>
                <c:pt idx="763">
                  <c:v>36.82470000000103</c:v>
                </c:pt>
                <c:pt idx="764">
                  <c:v>36.824800000001034</c:v>
                </c:pt>
                <c:pt idx="765">
                  <c:v>36.824900000001037</c:v>
                </c:pt>
                <c:pt idx="766">
                  <c:v>36.82500000000104</c:v>
                </c:pt>
                <c:pt idx="767">
                  <c:v>36.825100000001044</c:v>
                </c:pt>
                <c:pt idx="768">
                  <c:v>36.825200000001047</c:v>
                </c:pt>
                <c:pt idx="769">
                  <c:v>36.82530000000105</c:v>
                </c:pt>
                <c:pt idx="770">
                  <c:v>36.825400000001054</c:v>
                </c:pt>
                <c:pt idx="771">
                  <c:v>36.825500000001057</c:v>
                </c:pt>
                <c:pt idx="772">
                  <c:v>36.82560000000106</c:v>
                </c:pt>
                <c:pt idx="773">
                  <c:v>36.825700000001063</c:v>
                </c:pt>
                <c:pt idx="774">
                  <c:v>36.825800000001067</c:v>
                </c:pt>
                <c:pt idx="775">
                  <c:v>36.82590000000107</c:v>
                </c:pt>
                <c:pt idx="776">
                  <c:v>36.826000000001073</c:v>
                </c:pt>
                <c:pt idx="777">
                  <c:v>36.826100000001077</c:v>
                </c:pt>
                <c:pt idx="778">
                  <c:v>36.82620000000108</c:v>
                </c:pt>
                <c:pt idx="779">
                  <c:v>36.826300000001083</c:v>
                </c:pt>
                <c:pt idx="780">
                  <c:v>36.826400000001087</c:v>
                </c:pt>
                <c:pt idx="781">
                  <c:v>36.82650000000109</c:v>
                </c:pt>
                <c:pt idx="782">
                  <c:v>36.826600000001093</c:v>
                </c:pt>
                <c:pt idx="783">
                  <c:v>36.826700000001097</c:v>
                </c:pt>
                <c:pt idx="784">
                  <c:v>36.8268000000011</c:v>
                </c:pt>
                <c:pt idx="785">
                  <c:v>36.826900000001103</c:v>
                </c:pt>
                <c:pt idx="786">
                  <c:v>36.827000000001107</c:v>
                </c:pt>
                <c:pt idx="787">
                  <c:v>36.82710000000111</c:v>
                </c:pt>
                <c:pt idx="788">
                  <c:v>36.827200000001113</c:v>
                </c:pt>
                <c:pt idx="789">
                  <c:v>36.827300000001117</c:v>
                </c:pt>
                <c:pt idx="790">
                  <c:v>36.82740000000112</c:v>
                </c:pt>
                <c:pt idx="791">
                  <c:v>36.827500000001123</c:v>
                </c:pt>
                <c:pt idx="792">
                  <c:v>36.827600000001127</c:v>
                </c:pt>
                <c:pt idx="793">
                  <c:v>36.82770000000113</c:v>
                </c:pt>
                <c:pt idx="794">
                  <c:v>36.827800000001133</c:v>
                </c:pt>
                <c:pt idx="795">
                  <c:v>36.827900000001137</c:v>
                </c:pt>
                <c:pt idx="796">
                  <c:v>36.82800000000114</c:v>
                </c:pt>
                <c:pt idx="797">
                  <c:v>36.828100000001143</c:v>
                </c:pt>
                <c:pt idx="798">
                  <c:v>36.828200000001146</c:v>
                </c:pt>
                <c:pt idx="799">
                  <c:v>36.82830000000115</c:v>
                </c:pt>
                <c:pt idx="800">
                  <c:v>36.828400000001153</c:v>
                </c:pt>
                <c:pt idx="801">
                  <c:v>36.828500000001156</c:v>
                </c:pt>
                <c:pt idx="802">
                  <c:v>36.82860000000116</c:v>
                </c:pt>
                <c:pt idx="803">
                  <c:v>36.828700000001163</c:v>
                </c:pt>
                <c:pt idx="804">
                  <c:v>36.828800000001166</c:v>
                </c:pt>
                <c:pt idx="805">
                  <c:v>36.82890000000117</c:v>
                </c:pt>
                <c:pt idx="806">
                  <c:v>36.829000000001173</c:v>
                </c:pt>
                <c:pt idx="807">
                  <c:v>36.829100000001176</c:v>
                </c:pt>
                <c:pt idx="808">
                  <c:v>36.82920000000118</c:v>
                </c:pt>
                <c:pt idx="809">
                  <c:v>36.829300000001183</c:v>
                </c:pt>
                <c:pt idx="810">
                  <c:v>36.829400000001186</c:v>
                </c:pt>
                <c:pt idx="811">
                  <c:v>36.82950000000119</c:v>
                </c:pt>
                <c:pt idx="812">
                  <c:v>36.829600000001193</c:v>
                </c:pt>
                <c:pt idx="813">
                  <c:v>36.829700000001196</c:v>
                </c:pt>
                <c:pt idx="814">
                  <c:v>36.8298000000012</c:v>
                </c:pt>
                <c:pt idx="815">
                  <c:v>36.829900000001203</c:v>
                </c:pt>
                <c:pt idx="816">
                  <c:v>36.830000000001206</c:v>
                </c:pt>
                <c:pt idx="817">
                  <c:v>36.83010000000121</c:v>
                </c:pt>
                <c:pt idx="818">
                  <c:v>36.830200000001213</c:v>
                </c:pt>
                <c:pt idx="819">
                  <c:v>36.830300000001216</c:v>
                </c:pt>
                <c:pt idx="820">
                  <c:v>36.830400000001219</c:v>
                </c:pt>
                <c:pt idx="821">
                  <c:v>36.830500000001223</c:v>
                </c:pt>
                <c:pt idx="822">
                  <c:v>36.830600000001226</c:v>
                </c:pt>
                <c:pt idx="823">
                  <c:v>36.830700000001229</c:v>
                </c:pt>
                <c:pt idx="824">
                  <c:v>36.830800000001233</c:v>
                </c:pt>
                <c:pt idx="825">
                  <c:v>36.830900000001236</c:v>
                </c:pt>
                <c:pt idx="826">
                  <c:v>36.831000000001239</c:v>
                </c:pt>
                <c:pt idx="827">
                  <c:v>36.831100000001243</c:v>
                </c:pt>
                <c:pt idx="828">
                  <c:v>36.831200000001246</c:v>
                </c:pt>
                <c:pt idx="829">
                  <c:v>36.831300000001249</c:v>
                </c:pt>
                <c:pt idx="830">
                  <c:v>36.831400000001253</c:v>
                </c:pt>
                <c:pt idx="831">
                  <c:v>36.831500000001256</c:v>
                </c:pt>
                <c:pt idx="832">
                  <c:v>36.831600000001259</c:v>
                </c:pt>
                <c:pt idx="833">
                  <c:v>36.831700000001263</c:v>
                </c:pt>
                <c:pt idx="834">
                  <c:v>36.831800000001266</c:v>
                </c:pt>
                <c:pt idx="835">
                  <c:v>36.831900000001269</c:v>
                </c:pt>
                <c:pt idx="836">
                  <c:v>36.832000000001273</c:v>
                </c:pt>
                <c:pt idx="837">
                  <c:v>36.832100000001276</c:v>
                </c:pt>
                <c:pt idx="838">
                  <c:v>36.832200000001279</c:v>
                </c:pt>
                <c:pt idx="839">
                  <c:v>36.832300000001283</c:v>
                </c:pt>
                <c:pt idx="840">
                  <c:v>36.832400000001286</c:v>
                </c:pt>
                <c:pt idx="841">
                  <c:v>36.832500000001289</c:v>
                </c:pt>
                <c:pt idx="842">
                  <c:v>36.832600000001293</c:v>
                </c:pt>
                <c:pt idx="843">
                  <c:v>36.832700000001296</c:v>
                </c:pt>
                <c:pt idx="844">
                  <c:v>36.832800000001299</c:v>
                </c:pt>
                <c:pt idx="845">
                  <c:v>36.832900000001302</c:v>
                </c:pt>
                <c:pt idx="846">
                  <c:v>36.833000000001306</c:v>
                </c:pt>
                <c:pt idx="847">
                  <c:v>36.833100000001309</c:v>
                </c:pt>
                <c:pt idx="848">
                  <c:v>36.833200000001312</c:v>
                </c:pt>
                <c:pt idx="849">
                  <c:v>36.833300000001316</c:v>
                </c:pt>
                <c:pt idx="850">
                  <c:v>36.833400000001319</c:v>
                </c:pt>
                <c:pt idx="851">
                  <c:v>36.833500000001322</c:v>
                </c:pt>
                <c:pt idx="852">
                  <c:v>36.833600000001326</c:v>
                </c:pt>
                <c:pt idx="853">
                  <c:v>36.833700000001329</c:v>
                </c:pt>
                <c:pt idx="854">
                  <c:v>36.833800000001332</c:v>
                </c:pt>
                <c:pt idx="855">
                  <c:v>36.833900000001336</c:v>
                </c:pt>
                <c:pt idx="856">
                  <c:v>36.834000000001339</c:v>
                </c:pt>
                <c:pt idx="857">
                  <c:v>36.834100000001342</c:v>
                </c:pt>
                <c:pt idx="858">
                  <c:v>36.834200000001346</c:v>
                </c:pt>
                <c:pt idx="859">
                  <c:v>36.834300000001349</c:v>
                </c:pt>
                <c:pt idx="860">
                  <c:v>36.834400000001352</c:v>
                </c:pt>
                <c:pt idx="861">
                  <c:v>36.834500000001356</c:v>
                </c:pt>
                <c:pt idx="862">
                  <c:v>36.834600000001359</c:v>
                </c:pt>
                <c:pt idx="863">
                  <c:v>36.834700000001362</c:v>
                </c:pt>
                <c:pt idx="864">
                  <c:v>36.834800000001366</c:v>
                </c:pt>
                <c:pt idx="865">
                  <c:v>36.834900000001369</c:v>
                </c:pt>
                <c:pt idx="866">
                  <c:v>36.835000000001372</c:v>
                </c:pt>
                <c:pt idx="867">
                  <c:v>36.835100000001376</c:v>
                </c:pt>
                <c:pt idx="868">
                  <c:v>36.835200000001379</c:v>
                </c:pt>
                <c:pt idx="869">
                  <c:v>36.835300000001382</c:v>
                </c:pt>
                <c:pt idx="870">
                  <c:v>36.835400000001385</c:v>
                </c:pt>
                <c:pt idx="871">
                  <c:v>36.835500000001389</c:v>
                </c:pt>
                <c:pt idx="872">
                  <c:v>36.835600000001392</c:v>
                </c:pt>
                <c:pt idx="873">
                  <c:v>36.835700000001395</c:v>
                </c:pt>
                <c:pt idx="874">
                  <c:v>36.835800000001399</c:v>
                </c:pt>
                <c:pt idx="875">
                  <c:v>36.835900000001402</c:v>
                </c:pt>
                <c:pt idx="876">
                  <c:v>36.836000000001405</c:v>
                </c:pt>
                <c:pt idx="877">
                  <c:v>36.836100000001409</c:v>
                </c:pt>
                <c:pt idx="878">
                  <c:v>36.836200000001412</c:v>
                </c:pt>
                <c:pt idx="879">
                  <c:v>36.836300000001415</c:v>
                </c:pt>
                <c:pt idx="880">
                  <c:v>36.836400000001419</c:v>
                </c:pt>
                <c:pt idx="881">
                  <c:v>36.836500000001422</c:v>
                </c:pt>
                <c:pt idx="882">
                  <c:v>36.836600000001425</c:v>
                </c:pt>
                <c:pt idx="883">
                  <c:v>36.836700000001429</c:v>
                </c:pt>
                <c:pt idx="884">
                  <c:v>36.836800000001432</c:v>
                </c:pt>
                <c:pt idx="885">
                  <c:v>36.836900000001435</c:v>
                </c:pt>
                <c:pt idx="886">
                  <c:v>36.837000000001439</c:v>
                </c:pt>
                <c:pt idx="887">
                  <c:v>36.837100000001442</c:v>
                </c:pt>
                <c:pt idx="888">
                  <c:v>36.837200000001445</c:v>
                </c:pt>
                <c:pt idx="889">
                  <c:v>36.837300000001449</c:v>
                </c:pt>
                <c:pt idx="890">
                  <c:v>36.837400000001452</c:v>
                </c:pt>
                <c:pt idx="891">
                  <c:v>36.837500000001455</c:v>
                </c:pt>
                <c:pt idx="892">
                  <c:v>36.837600000001459</c:v>
                </c:pt>
                <c:pt idx="893">
                  <c:v>36.837700000001462</c:v>
                </c:pt>
                <c:pt idx="894">
                  <c:v>36.837800000001465</c:v>
                </c:pt>
                <c:pt idx="895">
                  <c:v>36.837900000001468</c:v>
                </c:pt>
                <c:pt idx="896">
                  <c:v>36.838000000001472</c:v>
                </c:pt>
                <c:pt idx="897">
                  <c:v>36.838100000001475</c:v>
                </c:pt>
                <c:pt idx="898">
                  <c:v>36.838200000001478</c:v>
                </c:pt>
                <c:pt idx="899">
                  <c:v>36.838300000001482</c:v>
                </c:pt>
                <c:pt idx="900">
                  <c:v>36.838400000001485</c:v>
                </c:pt>
                <c:pt idx="901">
                  <c:v>36.838500000001488</c:v>
                </c:pt>
                <c:pt idx="902">
                  <c:v>36.838600000001492</c:v>
                </c:pt>
                <c:pt idx="903">
                  <c:v>36.838700000001495</c:v>
                </c:pt>
                <c:pt idx="904">
                  <c:v>36.838800000001498</c:v>
                </c:pt>
                <c:pt idx="905">
                  <c:v>36.838900000001502</c:v>
                </c:pt>
                <c:pt idx="906">
                  <c:v>36.839000000001505</c:v>
                </c:pt>
                <c:pt idx="907">
                  <c:v>36.839100000001508</c:v>
                </c:pt>
                <c:pt idx="908">
                  <c:v>36.839200000001512</c:v>
                </c:pt>
                <c:pt idx="909">
                  <c:v>36.839300000001515</c:v>
                </c:pt>
                <c:pt idx="910">
                  <c:v>36.839400000001518</c:v>
                </c:pt>
                <c:pt idx="911">
                  <c:v>36.839500000001522</c:v>
                </c:pt>
                <c:pt idx="912">
                  <c:v>36.839600000001525</c:v>
                </c:pt>
                <c:pt idx="913">
                  <c:v>36.839700000001528</c:v>
                </c:pt>
                <c:pt idx="914">
                  <c:v>36.839800000001532</c:v>
                </c:pt>
                <c:pt idx="915">
                  <c:v>36.839900000001535</c:v>
                </c:pt>
                <c:pt idx="916">
                  <c:v>36.840000000001538</c:v>
                </c:pt>
                <c:pt idx="917">
                  <c:v>36.840100000001542</c:v>
                </c:pt>
                <c:pt idx="918">
                  <c:v>36.840200000001545</c:v>
                </c:pt>
                <c:pt idx="919">
                  <c:v>36.840300000001548</c:v>
                </c:pt>
                <c:pt idx="920">
                  <c:v>36.840400000001551</c:v>
                </c:pt>
                <c:pt idx="921">
                  <c:v>36.840500000001555</c:v>
                </c:pt>
                <c:pt idx="922">
                  <c:v>36.840600000001558</c:v>
                </c:pt>
                <c:pt idx="923">
                  <c:v>36.840700000001561</c:v>
                </c:pt>
                <c:pt idx="924">
                  <c:v>36.840800000001565</c:v>
                </c:pt>
                <c:pt idx="925">
                  <c:v>36.840900000001568</c:v>
                </c:pt>
                <c:pt idx="926">
                  <c:v>36.841000000001571</c:v>
                </c:pt>
                <c:pt idx="927">
                  <c:v>36.841100000001575</c:v>
                </c:pt>
                <c:pt idx="928">
                  <c:v>36.841200000001578</c:v>
                </c:pt>
                <c:pt idx="929">
                  <c:v>36.841300000001581</c:v>
                </c:pt>
                <c:pt idx="930">
                  <c:v>36.841400000001585</c:v>
                </c:pt>
                <c:pt idx="931">
                  <c:v>36.841500000001588</c:v>
                </c:pt>
                <c:pt idx="932">
                  <c:v>36.841600000001591</c:v>
                </c:pt>
                <c:pt idx="933">
                  <c:v>36.841700000001595</c:v>
                </c:pt>
                <c:pt idx="934">
                  <c:v>36.841800000001598</c:v>
                </c:pt>
                <c:pt idx="935">
                  <c:v>36.841900000001601</c:v>
                </c:pt>
                <c:pt idx="936">
                  <c:v>36.842000000001605</c:v>
                </c:pt>
                <c:pt idx="937">
                  <c:v>36.842100000001608</c:v>
                </c:pt>
                <c:pt idx="938">
                  <c:v>36.842200000001611</c:v>
                </c:pt>
                <c:pt idx="939">
                  <c:v>36.842300000001615</c:v>
                </c:pt>
                <c:pt idx="940">
                  <c:v>36.842400000001618</c:v>
                </c:pt>
                <c:pt idx="941">
                  <c:v>36.842500000001621</c:v>
                </c:pt>
                <c:pt idx="942">
                  <c:v>36.842600000001624</c:v>
                </c:pt>
                <c:pt idx="943">
                  <c:v>36.842700000001628</c:v>
                </c:pt>
                <c:pt idx="944">
                  <c:v>36.842800000001631</c:v>
                </c:pt>
                <c:pt idx="945">
                  <c:v>36.842900000001634</c:v>
                </c:pt>
                <c:pt idx="946">
                  <c:v>36.843000000001638</c:v>
                </c:pt>
                <c:pt idx="947">
                  <c:v>36.843100000001641</c:v>
                </c:pt>
                <c:pt idx="948">
                  <c:v>36.843200000001644</c:v>
                </c:pt>
                <c:pt idx="949">
                  <c:v>36.843300000001648</c:v>
                </c:pt>
                <c:pt idx="950">
                  <c:v>36.843400000001651</c:v>
                </c:pt>
                <c:pt idx="951">
                  <c:v>36.843500000001654</c:v>
                </c:pt>
                <c:pt idx="952">
                  <c:v>36.843600000001658</c:v>
                </c:pt>
                <c:pt idx="953">
                  <c:v>36.843700000001661</c:v>
                </c:pt>
                <c:pt idx="954">
                  <c:v>36.843800000001664</c:v>
                </c:pt>
                <c:pt idx="955">
                  <c:v>36.843900000001668</c:v>
                </c:pt>
                <c:pt idx="956">
                  <c:v>36.844000000001671</c:v>
                </c:pt>
                <c:pt idx="957">
                  <c:v>36.844100000001674</c:v>
                </c:pt>
                <c:pt idx="958">
                  <c:v>36.844200000001678</c:v>
                </c:pt>
                <c:pt idx="959">
                  <c:v>36.844300000001681</c:v>
                </c:pt>
                <c:pt idx="960">
                  <c:v>36.844400000001684</c:v>
                </c:pt>
                <c:pt idx="961">
                  <c:v>36.844500000001688</c:v>
                </c:pt>
                <c:pt idx="962">
                  <c:v>36.844600000001691</c:v>
                </c:pt>
                <c:pt idx="963">
                  <c:v>36.844700000001694</c:v>
                </c:pt>
                <c:pt idx="964">
                  <c:v>36.844800000001698</c:v>
                </c:pt>
                <c:pt idx="965">
                  <c:v>36.844900000001701</c:v>
                </c:pt>
                <c:pt idx="966">
                  <c:v>36.845000000001704</c:v>
                </c:pt>
                <c:pt idx="967">
                  <c:v>36.845100000001707</c:v>
                </c:pt>
                <c:pt idx="968">
                  <c:v>36.845200000001711</c:v>
                </c:pt>
                <c:pt idx="969">
                  <c:v>36.845300000001714</c:v>
                </c:pt>
                <c:pt idx="970">
                  <c:v>36.845400000001717</c:v>
                </c:pt>
                <c:pt idx="971">
                  <c:v>36.845500000001721</c:v>
                </c:pt>
                <c:pt idx="972">
                  <c:v>36.845600000001724</c:v>
                </c:pt>
                <c:pt idx="973">
                  <c:v>36.845700000001727</c:v>
                </c:pt>
                <c:pt idx="974">
                  <c:v>36.845800000001731</c:v>
                </c:pt>
                <c:pt idx="975">
                  <c:v>36.845900000001734</c:v>
                </c:pt>
                <c:pt idx="976">
                  <c:v>36.846000000001737</c:v>
                </c:pt>
                <c:pt idx="977">
                  <c:v>36.846100000001741</c:v>
                </c:pt>
                <c:pt idx="978">
                  <c:v>36.846200000001744</c:v>
                </c:pt>
                <c:pt idx="979">
                  <c:v>36.846300000001747</c:v>
                </c:pt>
                <c:pt idx="980">
                  <c:v>36.846400000001751</c:v>
                </c:pt>
                <c:pt idx="981">
                  <c:v>36.846500000001754</c:v>
                </c:pt>
                <c:pt idx="982">
                  <c:v>36.846600000001757</c:v>
                </c:pt>
                <c:pt idx="983">
                  <c:v>36.846700000001761</c:v>
                </c:pt>
                <c:pt idx="984">
                  <c:v>36.846800000001764</c:v>
                </c:pt>
                <c:pt idx="985">
                  <c:v>36.846900000001767</c:v>
                </c:pt>
                <c:pt idx="986">
                  <c:v>36.847000000001771</c:v>
                </c:pt>
                <c:pt idx="987">
                  <c:v>36.847100000001774</c:v>
                </c:pt>
                <c:pt idx="988">
                  <c:v>36.847200000001777</c:v>
                </c:pt>
                <c:pt idx="989">
                  <c:v>36.847300000001781</c:v>
                </c:pt>
                <c:pt idx="990">
                  <c:v>36.847400000001784</c:v>
                </c:pt>
                <c:pt idx="991">
                  <c:v>36.847500000001787</c:v>
                </c:pt>
                <c:pt idx="992">
                  <c:v>36.84760000000179</c:v>
                </c:pt>
                <c:pt idx="993">
                  <c:v>36.847700000001794</c:v>
                </c:pt>
                <c:pt idx="994">
                  <c:v>36.847800000001797</c:v>
                </c:pt>
                <c:pt idx="995">
                  <c:v>36.8479000000018</c:v>
                </c:pt>
                <c:pt idx="996">
                  <c:v>36.848000000001804</c:v>
                </c:pt>
                <c:pt idx="997">
                  <c:v>36.848100000001807</c:v>
                </c:pt>
                <c:pt idx="998">
                  <c:v>36.84820000000181</c:v>
                </c:pt>
                <c:pt idx="999">
                  <c:v>36.848300000001814</c:v>
                </c:pt>
                <c:pt idx="1000">
                  <c:v>36.848400000001817</c:v>
                </c:pt>
              </c:numCache>
            </c:numRef>
          </c:xVal>
          <c:yVal>
            <c:numRef>
              <c:f>Calculs!$T$4:$T$1004</c:f>
              <c:numCache>
                <c:formatCode>0.00</c:formatCode>
                <c:ptCount val="1001"/>
                <c:pt idx="0">
                  <c:v>29.968569000000002</c:v>
                </c:pt>
                <c:pt idx="1">
                  <c:v>29.965314840353834</c:v>
                </c:pt>
                <c:pt idx="2">
                  <c:v>29.955552361415332</c:v>
                </c:pt>
                <c:pt idx="3">
                  <c:v>29.94305638837405</c:v>
                </c:pt>
                <c:pt idx="4">
                  <c:v>29.931601746419545</c:v>
                </c:pt>
                <c:pt idx="5">
                  <c:v>29.920690212488743</c:v>
                </c:pt>
                <c:pt idx="6">
                  <c:v>29.909823563518575</c:v>
                </c:pt>
                <c:pt idx="7">
                  <c:v>29.899001799509048</c:v>
                </c:pt>
                <c:pt idx="8">
                  <c:v>29.888224920460154</c:v>
                </c:pt>
                <c:pt idx="9">
                  <c:v>29.8774929263719</c:v>
                </c:pt>
                <c:pt idx="10">
                  <c:v>29.866805817244277</c:v>
                </c:pt>
                <c:pt idx="11">
                  <c:v>29.856163593077298</c:v>
                </c:pt>
                <c:pt idx="12">
                  <c:v>29.845566253870953</c:v>
                </c:pt>
                <c:pt idx="13">
                  <c:v>29.835013799625244</c:v>
                </c:pt>
                <c:pt idx="14">
                  <c:v>29.82450623034017</c:v>
                </c:pt>
                <c:pt idx="15">
                  <c:v>29.814043546015736</c:v>
                </c:pt>
                <c:pt idx="16">
                  <c:v>29.803625746651935</c:v>
                </c:pt>
                <c:pt idx="17">
                  <c:v>29.793252832248776</c:v>
                </c:pt>
                <c:pt idx="18">
                  <c:v>29.782924802806249</c:v>
                </c:pt>
                <c:pt idx="19">
                  <c:v>29.772641658324364</c:v>
                </c:pt>
                <c:pt idx="20">
                  <c:v>29.762403398803109</c:v>
                </c:pt>
                <c:pt idx="21">
                  <c:v>29.752210024242498</c:v>
                </c:pt>
                <c:pt idx="22">
                  <c:v>29.742061534642524</c:v>
                </c:pt>
                <c:pt idx="23">
                  <c:v>29.731957930003183</c:v>
                </c:pt>
                <c:pt idx="24">
                  <c:v>29.72189921032448</c:v>
                </c:pt>
                <c:pt idx="25">
                  <c:v>29.711885375606414</c:v>
                </c:pt>
                <c:pt idx="26">
                  <c:v>29.701916425848989</c:v>
                </c:pt>
                <c:pt idx="27">
                  <c:v>29.691992361052193</c:v>
                </c:pt>
                <c:pt idx="28">
                  <c:v>29.682113181216039</c:v>
                </c:pt>
                <c:pt idx="29">
                  <c:v>29.672278886340521</c:v>
                </c:pt>
                <c:pt idx="30">
                  <c:v>29.662489476425641</c:v>
                </c:pt>
                <c:pt idx="31">
                  <c:v>29.652744951471394</c:v>
                </c:pt>
                <c:pt idx="32">
                  <c:v>29.643045311477788</c:v>
                </c:pt>
                <c:pt idx="33">
                  <c:v>29.633390556444816</c:v>
                </c:pt>
                <c:pt idx="34">
                  <c:v>29.623780686372481</c:v>
                </c:pt>
                <c:pt idx="35">
                  <c:v>29.614215701260783</c:v>
                </c:pt>
                <c:pt idx="36">
                  <c:v>29.604695601109722</c:v>
                </c:pt>
                <c:pt idx="37">
                  <c:v>29.595220385919298</c:v>
                </c:pt>
                <c:pt idx="38">
                  <c:v>29.585790055689511</c:v>
                </c:pt>
                <c:pt idx="39">
                  <c:v>29.576404610420358</c:v>
                </c:pt>
                <c:pt idx="40">
                  <c:v>29.567064050111846</c:v>
                </c:pt>
                <c:pt idx="41">
                  <c:v>29.557768374763967</c:v>
                </c:pt>
                <c:pt idx="42">
                  <c:v>29.548517584376729</c:v>
                </c:pt>
                <c:pt idx="43">
                  <c:v>29.539311678950124</c:v>
                </c:pt>
                <c:pt idx="44">
                  <c:v>29.530150658484157</c:v>
                </c:pt>
                <c:pt idx="45">
                  <c:v>29.521034522978827</c:v>
                </c:pt>
                <c:pt idx="46">
                  <c:v>29.511963272434134</c:v>
                </c:pt>
                <c:pt idx="47">
                  <c:v>29.502936906850074</c:v>
                </c:pt>
                <c:pt idx="48">
                  <c:v>29.493955426226655</c:v>
                </c:pt>
                <c:pt idx="49">
                  <c:v>29.485018830563874</c:v>
                </c:pt>
                <c:pt idx="50">
                  <c:v>29.476127119861726</c:v>
                </c:pt>
                <c:pt idx="51">
                  <c:v>29.467280294120215</c:v>
                </c:pt>
                <c:pt idx="52">
                  <c:v>29.458478353339345</c:v>
                </c:pt>
                <c:pt idx="53">
                  <c:v>29.449721297519108</c:v>
                </c:pt>
                <c:pt idx="54">
                  <c:v>29.441009126659509</c:v>
                </c:pt>
                <c:pt idx="55">
                  <c:v>29.432341840760547</c:v>
                </c:pt>
                <c:pt idx="56">
                  <c:v>29.423719439822221</c:v>
                </c:pt>
                <c:pt idx="57">
                  <c:v>29.41514192384453</c:v>
                </c:pt>
                <c:pt idx="58">
                  <c:v>29.406609292827479</c:v>
                </c:pt>
                <c:pt idx="59">
                  <c:v>29.398121546771062</c:v>
                </c:pt>
                <c:pt idx="60">
                  <c:v>29.389678685675285</c:v>
                </c:pt>
                <c:pt idx="61">
                  <c:v>29.381280709540142</c:v>
                </c:pt>
                <c:pt idx="62">
                  <c:v>29.372927618365637</c:v>
                </c:pt>
                <c:pt idx="63">
                  <c:v>29.364662052864375</c:v>
                </c:pt>
                <c:pt idx="64">
                  <c:v>29.356526653748958</c:v>
                </c:pt>
                <c:pt idx="65">
                  <c:v>29.348521421019388</c:v>
                </c:pt>
                <c:pt idx="66">
                  <c:v>29.340646354675663</c:v>
                </c:pt>
                <c:pt idx="67">
                  <c:v>29.332940504633537</c:v>
                </c:pt>
                <c:pt idx="68">
                  <c:v>29.325442920808769</c:v>
                </c:pt>
                <c:pt idx="69">
                  <c:v>29.318223025273806</c:v>
                </c:pt>
                <c:pt idx="70">
                  <c:v>29.311350240101103</c:v>
                </c:pt>
                <c:pt idx="71">
                  <c:v>29.304824565290655</c:v>
                </c:pt>
                <c:pt idx="72">
                  <c:v>29.298646000842464</c:v>
                </c:pt>
                <c:pt idx="73">
                  <c:v>29.292814546756532</c:v>
                </c:pt>
                <c:pt idx="74">
                  <c:v>29.287330203032859</c:v>
                </c:pt>
                <c:pt idx="75">
                  <c:v>29.282192969671442</c:v>
                </c:pt>
                <c:pt idx="76">
                  <c:v>29.277402846672281</c:v>
                </c:pt>
                <c:pt idx="77">
                  <c:v>29.27295983403538</c:v>
                </c:pt>
                <c:pt idx="78">
                  <c:v>29.268863931760738</c:v>
                </c:pt>
                <c:pt idx="79">
                  <c:v>29.265115139848351</c:v>
                </c:pt>
                <c:pt idx="80">
                  <c:v>29.261713458298221</c:v>
                </c:pt>
                <c:pt idx="81">
                  <c:v>29.258576448399314</c:v>
                </c:pt>
                <c:pt idx="82">
                  <c:v>29.255621671440593</c:v>
                </c:pt>
                <c:pt idx="83">
                  <c:v>29.25284912742206</c:v>
                </c:pt>
                <c:pt idx="84">
                  <c:v>29.25025881634371</c:v>
                </c:pt>
                <c:pt idx="85">
                  <c:v>29.24785073820555</c:v>
                </c:pt>
                <c:pt idx="86">
                  <c:v>29.24562489300757</c:v>
                </c:pt>
                <c:pt idx="87">
                  <c:v>29.243581280749776</c:v>
                </c:pt>
                <c:pt idx="88">
                  <c:v>29.24171990143217</c:v>
                </c:pt>
                <c:pt idx="89">
                  <c:v>29.240014721777577</c:v>
                </c:pt>
                <c:pt idx="90">
                  <c:v>29.238439708508832</c:v>
                </c:pt>
                <c:pt idx="91">
                  <c:v>29.236994861625934</c:v>
                </c:pt>
                <c:pt idx="92">
                  <c:v>29.235680181128881</c:v>
                </c:pt>
                <c:pt idx="93">
                  <c:v>29.234489158698384</c:v>
                </c:pt>
                <c:pt idx="94">
                  <c:v>29.233415286015152</c:v>
                </c:pt>
                <c:pt idx="95">
                  <c:v>29.232458563079181</c:v>
                </c:pt>
                <c:pt idx="96">
                  <c:v>29.231618989890467</c:v>
                </c:pt>
                <c:pt idx="97">
                  <c:v>29.230870533171853</c:v>
                </c:pt>
                <c:pt idx="98">
                  <c:v>29.230187159646157</c:v>
                </c:pt>
                <c:pt idx="99">
                  <c:v>29.229568869313383</c:v>
                </c:pt>
                <c:pt idx="100">
                  <c:v>29.229015662173538</c:v>
                </c:pt>
                <c:pt idx="101">
                  <c:v>29.228527538226611</c:v>
                </c:pt>
                <c:pt idx="102">
                  <c:v>29.228104497472611</c:v>
                </c:pt>
                <c:pt idx="103">
                  <c:v>29.227746539911529</c:v>
                </c:pt>
                <c:pt idx="104">
                  <c:v>29.227453665543372</c:v>
                </c:pt>
                <c:pt idx="105">
                  <c:v>29.227225874368141</c:v>
                </c:pt>
                <c:pt idx="106">
                  <c:v>29.227063166385832</c:v>
                </c:pt>
                <c:pt idx="107">
                  <c:v>29.226965541596446</c:v>
                </c:pt>
                <c:pt idx="108">
                  <c:v>29.226932999999988</c:v>
                </c:pt>
                <c:pt idx="109">
                  <c:v>29.226932999999988</c:v>
                </c:pt>
                <c:pt idx="110">
                  <c:v>29.226932999999988</c:v>
                </c:pt>
                <c:pt idx="111">
                  <c:v>29.226932999999988</c:v>
                </c:pt>
                <c:pt idx="112">
                  <c:v>29.226932999999988</c:v>
                </c:pt>
                <c:pt idx="113">
                  <c:v>29.226932999999988</c:v>
                </c:pt>
                <c:pt idx="114">
                  <c:v>29.226932999999988</c:v>
                </c:pt>
                <c:pt idx="115">
                  <c:v>29.226932999999988</c:v>
                </c:pt>
                <c:pt idx="116">
                  <c:v>29.226932999999988</c:v>
                </c:pt>
                <c:pt idx="117">
                  <c:v>29.226932999999988</c:v>
                </c:pt>
                <c:pt idx="118">
                  <c:v>29.226932999999988</c:v>
                </c:pt>
                <c:pt idx="119">
                  <c:v>29.226932999999988</c:v>
                </c:pt>
                <c:pt idx="120">
                  <c:v>29.226932999999988</c:v>
                </c:pt>
                <c:pt idx="121">
                  <c:v>29.226932999999988</c:v>
                </c:pt>
                <c:pt idx="122">
                  <c:v>29.226932999999988</c:v>
                </c:pt>
                <c:pt idx="123">
                  <c:v>29.226932999999988</c:v>
                </c:pt>
                <c:pt idx="124">
                  <c:v>29.226932999999988</c:v>
                </c:pt>
                <c:pt idx="125">
                  <c:v>29.226932999999988</c:v>
                </c:pt>
                <c:pt idx="126">
                  <c:v>29.226932999999988</c:v>
                </c:pt>
                <c:pt idx="127">
                  <c:v>29.226932999999988</c:v>
                </c:pt>
                <c:pt idx="128">
                  <c:v>29.226932999999988</c:v>
                </c:pt>
                <c:pt idx="129">
                  <c:v>29.226932999999988</c:v>
                </c:pt>
                <c:pt idx="130">
                  <c:v>29.226932999999988</c:v>
                </c:pt>
                <c:pt idx="131">
                  <c:v>29.226932999999988</c:v>
                </c:pt>
                <c:pt idx="132">
                  <c:v>29.226932999999988</c:v>
                </c:pt>
                <c:pt idx="133">
                  <c:v>29.226932999999988</c:v>
                </c:pt>
                <c:pt idx="134">
                  <c:v>29.226932999999988</c:v>
                </c:pt>
                <c:pt idx="135">
                  <c:v>29.226932999999988</c:v>
                </c:pt>
                <c:pt idx="136">
                  <c:v>29.226932999999988</c:v>
                </c:pt>
                <c:pt idx="137">
                  <c:v>29.226932999999988</c:v>
                </c:pt>
                <c:pt idx="138">
                  <c:v>29.226932999999988</c:v>
                </c:pt>
                <c:pt idx="139">
                  <c:v>29.226932999999988</c:v>
                </c:pt>
                <c:pt idx="140">
                  <c:v>29.226932999999988</c:v>
                </c:pt>
                <c:pt idx="141">
                  <c:v>29.226932999999988</c:v>
                </c:pt>
                <c:pt idx="142">
                  <c:v>29.226932999999988</c:v>
                </c:pt>
                <c:pt idx="143">
                  <c:v>29.226932999999988</c:v>
                </c:pt>
                <c:pt idx="144">
                  <c:v>29.226932999999988</c:v>
                </c:pt>
                <c:pt idx="145">
                  <c:v>29.226932999999988</c:v>
                </c:pt>
                <c:pt idx="146">
                  <c:v>29.226932999999988</c:v>
                </c:pt>
                <c:pt idx="147">
                  <c:v>29.226932999999988</c:v>
                </c:pt>
                <c:pt idx="148">
                  <c:v>29.226932999999988</c:v>
                </c:pt>
                <c:pt idx="149">
                  <c:v>29.226932999999988</c:v>
                </c:pt>
                <c:pt idx="150">
                  <c:v>29.226932999999988</c:v>
                </c:pt>
                <c:pt idx="151">
                  <c:v>29.226932999999988</c:v>
                </c:pt>
                <c:pt idx="152">
                  <c:v>29.226932999999988</c:v>
                </c:pt>
                <c:pt idx="153">
                  <c:v>29.226932999999988</c:v>
                </c:pt>
                <c:pt idx="154">
                  <c:v>29.226932999999988</c:v>
                </c:pt>
                <c:pt idx="155">
                  <c:v>29.226932999999988</c:v>
                </c:pt>
                <c:pt idx="156">
                  <c:v>29.226932999999988</c:v>
                </c:pt>
                <c:pt idx="157">
                  <c:v>29.226932999999988</c:v>
                </c:pt>
                <c:pt idx="158">
                  <c:v>29.226932999999988</c:v>
                </c:pt>
                <c:pt idx="159">
                  <c:v>29.226932999999988</c:v>
                </c:pt>
                <c:pt idx="160">
                  <c:v>29.226932999999988</c:v>
                </c:pt>
                <c:pt idx="161">
                  <c:v>29.226932999999988</c:v>
                </c:pt>
                <c:pt idx="162">
                  <c:v>29.226932999999988</c:v>
                </c:pt>
                <c:pt idx="163">
                  <c:v>29.226932999999988</c:v>
                </c:pt>
                <c:pt idx="164">
                  <c:v>29.226932999999988</c:v>
                </c:pt>
                <c:pt idx="165">
                  <c:v>29.226932999999988</c:v>
                </c:pt>
                <c:pt idx="166">
                  <c:v>29.226932999999988</c:v>
                </c:pt>
                <c:pt idx="167">
                  <c:v>29.226932999999988</c:v>
                </c:pt>
                <c:pt idx="168">
                  <c:v>29.226932999999988</c:v>
                </c:pt>
                <c:pt idx="169">
                  <c:v>29.226932999999988</c:v>
                </c:pt>
                <c:pt idx="170">
                  <c:v>29.226932999999988</c:v>
                </c:pt>
                <c:pt idx="171">
                  <c:v>29.226932999999988</c:v>
                </c:pt>
                <c:pt idx="172">
                  <c:v>29.226932999999988</c:v>
                </c:pt>
                <c:pt idx="173">
                  <c:v>29.226932999999988</c:v>
                </c:pt>
                <c:pt idx="174">
                  <c:v>29.226932999999988</c:v>
                </c:pt>
                <c:pt idx="175">
                  <c:v>29.226932999999988</c:v>
                </c:pt>
                <c:pt idx="176">
                  <c:v>29.226932999999988</c:v>
                </c:pt>
                <c:pt idx="177">
                  <c:v>29.226932999999988</c:v>
                </c:pt>
                <c:pt idx="178">
                  <c:v>29.226932999999988</c:v>
                </c:pt>
                <c:pt idx="179">
                  <c:v>29.226932999999988</c:v>
                </c:pt>
                <c:pt idx="180">
                  <c:v>29.226932999999988</c:v>
                </c:pt>
                <c:pt idx="181">
                  <c:v>29.226932999999988</c:v>
                </c:pt>
                <c:pt idx="182">
                  <c:v>29.226932999999988</c:v>
                </c:pt>
                <c:pt idx="183">
                  <c:v>29.226932999999988</c:v>
                </c:pt>
                <c:pt idx="184">
                  <c:v>29.226932999999988</c:v>
                </c:pt>
                <c:pt idx="185">
                  <c:v>29.226932999999988</c:v>
                </c:pt>
                <c:pt idx="186">
                  <c:v>29.226932999999988</c:v>
                </c:pt>
                <c:pt idx="187">
                  <c:v>29.226932999999988</c:v>
                </c:pt>
                <c:pt idx="188">
                  <c:v>29.226932999999988</c:v>
                </c:pt>
                <c:pt idx="189">
                  <c:v>29.226932999999988</c:v>
                </c:pt>
                <c:pt idx="190">
                  <c:v>29.226932999999988</c:v>
                </c:pt>
                <c:pt idx="191">
                  <c:v>29.226932999999988</c:v>
                </c:pt>
                <c:pt idx="192">
                  <c:v>29.226932999999988</c:v>
                </c:pt>
                <c:pt idx="193">
                  <c:v>29.226932999999988</c:v>
                </c:pt>
                <c:pt idx="194">
                  <c:v>29.226932999999988</c:v>
                </c:pt>
                <c:pt idx="195">
                  <c:v>29.226932999999988</c:v>
                </c:pt>
                <c:pt idx="196">
                  <c:v>29.226932999999988</c:v>
                </c:pt>
                <c:pt idx="197">
                  <c:v>29.226932999999988</c:v>
                </c:pt>
                <c:pt idx="198">
                  <c:v>29.226932999999988</c:v>
                </c:pt>
                <c:pt idx="199">
                  <c:v>29.226932999999988</c:v>
                </c:pt>
                <c:pt idx="200">
                  <c:v>29.226932999999988</c:v>
                </c:pt>
                <c:pt idx="201">
                  <c:v>29.226932999999988</c:v>
                </c:pt>
                <c:pt idx="202">
                  <c:v>29.226932999999988</c:v>
                </c:pt>
                <c:pt idx="203">
                  <c:v>29.226932999999988</c:v>
                </c:pt>
                <c:pt idx="204">
                  <c:v>29.226932999999988</c:v>
                </c:pt>
                <c:pt idx="205">
                  <c:v>29.226932999999988</c:v>
                </c:pt>
                <c:pt idx="206">
                  <c:v>29.226932999999988</c:v>
                </c:pt>
                <c:pt idx="207">
                  <c:v>29.226932999999988</c:v>
                </c:pt>
                <c:pt idx="208">
                  <c:v>29.226932999999988</c:v>
                </c:pt>
                <c:pt idx="209">
                  <c:v>29.226932999999988</c:v>
                </c:pt>
                <c:pt idx="210">
                  <c:v>29.226932999999988</c:v>
                </c:pt>
                <c:pt idx="211">
                  <c:v>29.226932999999988</c:v>
                </c:pt>
                <c:pt idx="212">
                  <c:v>29.226932999999988</c:v>
                </c:pt>
                <c:pt idx="213">
                  <c:v>29.226932999999988</c:v>
                </c:pt>
                <c:pt idx="214">
                  <c:v>29.226932999999988</c:v>
                </c:pt>
                <c:pt idx="215">
                  <c:v>29.226932999999988</c:v>
                </c:pt>
                <c:pt idx="216">
                  <c:v>29.226932999999988</c:v>
                </c:pt>
                <c:pt idx="217">
                  <c:v>29.226932999999988</c:v>
                </c:pt>
                <c:pt idx="218">
                  <c:v>29.226932999999988</c:v>
                </c:pt>
                <c:pt idx="219">
                  <c:v>29.226932999999988</c:v>
                </c:pt>
                <c:pt idx="220">
                  <c:v>29.226932999999988</c:v>
                </c:pt>
                <c:pt idx="221">
                  <c:v>29.226932999999988</c:v>
                </c:pt>
                <c:pt idx="222">
                  <c:v>29.226932999999988</c:v>
                </c:pt>
                <c:pt idx="223">
                  <c:v>29.226932999999988</c:v>
                </c:pt>
                <c:pt idx="224">
                  <c:v>29.226932999999988</c:v>
                </c:pt>
                <c:pt idx="225">
                  <c:v>29.226932999999988</c:v>
                </c:pt>
                <c:pt idx="226">
                  <c:v>29.226932999999988</c:v>
                </c:pt>
                <c:pt idx="227">
                  <c:v>29.226932999999988</c:v>
                </c:pt>
                <c:pt idx="228">
                  <c:v>29.226932999999988</c:v>
                </c:pt>
                <c:pt idx="229">
                  <c:v>29.226932999999988</c:v>
                </c:pt>
                <c:pt idx="230">
                  <c:v>29.226932999999988</c:v>
                </c:pt>
                <c:pt idx="231">
                  <c:v>29.226932999999988</c:v>
                </c:pt>
                <c:pt idx="232">
                  <c:v>29.226932999999988</c:v>
                </c:pt>
                <c:pt idx="233">
                  <c:v>29.226932999999988</c:v>
                </c:pt>
                <c:pt idx="234">
                  <c:v>29.226932999999988</c:v>
                </c:pt>
                <c:pt idx="235">
                  <c:v>29.226932999999988</c:v>
                </c:pt>
                <c:pt idx="236">
                  <c:v>29.226932999999988</c:v>
                </c:pt>
                <c:pt idx="237">
                  <c:v>29.226932999999988</c:v>
                </c:pt>
                <c:pt idx="238">
                  <c:v>29.226932999999988</c:v>
                </c:pt>
                <c:pt idx="239">
                  <c:v>29.226932999999988</c:v>
                </c:pt>
                <c:pt idx="240">
                  <c:v>29.226932999999988</c:v>
                </c:pt>
                <c:pt idx="241">
                  <c:v>29.226932999999988</c:v>
                </c:pt>
                <c:pt idx="242">
                  <c:v>29.226932999999988</c:v>
                </c:pt>
                <c:pt idx="243">
                  <c:v>29.226932999999988</c:v>
                </c:pt>
                <c:pt idx="244">
                  <c:v>29.226932999999988</c:v>
                </c:pt>
                <c:pt idx="245">
                  <c:v>29.226932999999988</c:v>
                </c:pt>
                <c:pt idx="246">
                  <c:v>29.226932999999988</c:v>
                </c:pt>
                <c:pt idx="247">
                  <c:v>29.226932999999988</c:v>
                </c:pt>
                <c:pt idx="248">
                  <c:v>29.226932999999988</c:v>
                </c:pt>
                <c:pt idx="249">
                  <c:v>29.226932999999988</c:v>
                </c:pt>
                <c:pt idx="250">
                  <c:v>29.226932999999988</c:v>
                </c:pt>
                <c:pt idx="251">
                  <c:v>29.226932999999988</c:v>
                </c:pt>
                <c:pt idx="252">
                  <c:v>29.226932999999988</c:v>
                </c:pt>
                <c:pt idx="253">
                  <c:v>29.226932999999988</c:v>
                </c:pt>
                <c:pt idx="254">
                  <c:v>29.226932999999988</c:v>
                </c:pt>
                <c:pt idx="255">
                  <c:v>29.226932999999988</c:v>
                </c:pt>
                <c:pt idx="256">
                  <c:v>29.226932999999988</c:v>
                </c:pt>
                <c:pt idx="257">
                  <c:v>29.226932999999988</c:v>
                </c:pt>
                <c:pt idx="258">
                  <c:v>29.226932999999988</c:v>
                </c:pt>
                <c:pt idx="259">
                  <c:v>29.226932999999988</c:v>
                </c:pt>
                <c:pt idx="260">
                  <c:v>29.226932999999988</c:v>
                </c:pt>
                <c:pt idx="261">
                  <c:v>29.226932999999988</c:v>
                </c:pt>
                <c:pt idx="262">
                  <c:v>29.226932999999988</c:v>
                </c:pt>
                <c:pt idx="263">
                  <c:v>29.226932999999988</c:v>
                </c:pt>
                <c:pt idx="264">
                  <c:v>29.226932999999988</c:v>
                </c:pt>
                <c:pt idx="265">
                  <c:v>29.226932999999988</c:v>
                </c:pt>
                <c:pt idx="266">
                  <c:v>29.226932999999988</c:v>
                </c:pt>
                <c:pt idx="267">
                  <c:v>29.226932999999988</c:v>
                </c:pt>
                <c:pt idx="268">
                  <c:v>29.226932999999988</c:v>
                </c:pt>
                <c:pt idx="269">
                  <c:v>29.226932999999988</c:v>
                </c:pt>
                <c:pt idx="270">
                  <c:v>29.226932999999988</c:v>
                </c:pt>
                <c:pt idx="271">
                  <c:v>29.226932999999988</c:v>
                </c:pt>
                <c:pt idx="272">
                  <c:v>29.226932999999988</c:v>
                </c:pt>
                <c:pt idx="273">
                  <c:v>29.226932999999988</c:v>
                </c:pt>
                <c:pt idx="274">
                  <c:v>29.226932999999988</c:v>
                </c:pt>
                <c:pt idx="275">
                  <c:v>29.226932999999988</c:v>
                </c:pt>
                <c:pt idx="276">
                  <c:v>29.226932999999988</c:v>
                </c:pt>
                <c:pt idx="277">
                  <c:v>29.226932999999988</c:v>
                </c:pt>
                <c:pt idx="278">
                  <c:v>29.226932999999988</c:v>
                </c:pt>
                <c:pt idx="279">
                  <c:v>29.226932999999988</c:v>
                </c:pt>
                <c:pt idx="280">
                  <c:v>29.226932999999988</c:v>
                </c:pt>
                <c:pt idx="281">
                  <c:v>29.226932999999988</c:v>
                </c:pt>
                <c:pt idx="282">
                  <c:v>29.226932999999988</c:v>
                </c:pt>
                <c:pt idx="283">
                  <c:v>29.226932999999988</c:v>
                </c:pt>
                <c:pt idx="284">
                  <c:v>29.226932999999988</c:v>
                </c:pt>
                <c:pt idx="285">
                  <c:v>29.226932999999988</c:v>
                </c:pt>
                <c:pt idx="286">
                  <c:v>29.226932999999988</c:v>
                </c:pt>
                <c:pt idx="287">
                  <c:v>29.226932999999988</c:v>
                </c:pt>
                <c:pt idx="288">
                  <c:v>29.226932999999988</c:v>
                </c:pt>
                <c:pt idx="289">
                  <c:v>29.226932999999988</c:v>
                </c:pt>
                <c:pt idx="290">
                  <c:v>29.226932999999988</c:v>
                </c:pt>
                <c:pt idx="291">
                  <c:v>29.226932999999988</c:v>
                </c:pt>
                <c:pt idx="292">
                  <c:v>29.226932999999988</c:v>
                </c:pt>
                <c:pt idx="293">
                  <c:v>29.226932999999988</c:v>
                </c:pt>
                <c:pt idx="294">
                  <c:v>29.226932999999988</c:v>
                </c:pt>
                <c:pt idx="295">
                  <c:v>29.226932999999988</c:v>
                </c:pt>
                <c:pt idx="296">
                  <c:v>29.226932999999988</c:v>
                </c:pt>
                <c:pt idx="297">
                  <c:v>29.226932999999988</c:v>
                </c:pt>
                <c:pt idx="298">
                  <c:v>29.226932999999988</c:v>
                </c:pt>
                <c:pt idx="299">
                  <c:v>29.226932999999988</c:v>
                </c:pt>
                <c:pt idx="300">
                  <c:v>29.226932999999988</c:v>
                </c:pt>
                <c:pt idx="301">
                  <c:v>29.226932999999988</c:v>
                </c:pt>
                <c:pt idx="302">
                  <c:v>29.226932999999988</c:v>
                </c:pt>
                <c:pt idx="303">
                  <c:v>29.226932999999988</c:v>
                </c:pt>
                <c:pt idx="304">
                  <c:v>29.226932999999988</c:v>
                </c:pt>
                <c:pt idx="305">
                  <c:v>29.226932999999988</c:v>
                </c:pt>
                <c:pt idx="306">
                  <c:v>29.226932999999988</c:v>
                </c:pt>
                <c:pt idx="307">
                  <c:v>29.226932999999988</c:v>
                </c:pt>
                <c:pt idx="308">
                  <c:v>29.226932999999988</c:v>
                </c:pt>
                <c:pt idx="309">
                  <c:v>29.226932999999988</c:v>
                </c:pt>
                <c:pt idx="310">
                  <c:v>29.226932999999988</c:v>
                </c:pt>
                <c:pt idx="311">
                  <c:v>29.226932999999988</c:v>
                </c:pt>
                <c:pt idx="312">
                  <c:v>29.226932999999988</c:v>
                </c:pt>
                <c:pt idx="313">
                  <c:v>29.226932999999988</c:v>
                </c:pt>
                <c:pt idx="314">
                  <c:v>29.226932999999988</c:v>
                </c:pt>
                <c:pt idx="315">
                  <c:v>29.226932999999988</c:v>
                </c:pt>
                <c:pt idx="316">
                  <c:v>29.226932999999988</c:v>
                </c:pt>
                <c:pt idx="317">
                  <c:v>29.226932999999988</c:v>
                </c:pt>
                <c:pt idx="318">
                  <c:v>29.226932999999988</c:v>
                </c:pt>
                <c:pt idx="319">
                  <c:v>29.226932999999988</c:v>
                </c:pt>
                <c:pt idx="320">
                  <c:v>29.226932999999988</c:v>
                </c:pt>
                <c:pt idx="321">
                  <c:v>29.226932999999988</c:v>
                </c:pt>
                <c:pt idx="322">
                  <c:v>29.226932999999988</c:v>
                </c:pt>
                <c:pt idx="323">
                  <c:v>29.226932999999988</c:v>
                </c:pt>
                <c:pt idx="324">
                  <c:v>29.226932999999988</c:v>
                </c:pt>
                <c:pt idx="325">
                  <c:v>29.226932999999988</c:v>
                </c:pt>
                <c:pt idx="326">
                  <c:v>29.226932999999988</c:v>
                </c:pt>
                <c:pt idx="327">
                  <c:v>29.226932999999988</c:v>
                </c:pt>
                <c:pt idx="328">
                  <c:v>29.226932999999988</c:v>
                </c:pt>
                <c:pt idx="329">
                  <c:v>29.226932999999988</c:v>
                </c:pt>
                <c:pt idx="330">
                  <c:v>29.226932999999988</c:v>
                </c:pt>
                <c:pt idx="331">
                  <c:v>29.226932999999988</c:v>
                </c:pt>
                <c:pt idx="332">
                  <c:v>29.226932999999988</c:v>
                </c:pt>
                <c:pt idx="333">
                  <c:v>29.226932999999988</c:v>
                </c:pt>
                <c:pt idx="334">
                  <c:v>29.226932999999988</c:v>
                </c:pt>
                <c:pt idx="335">
                  <c:v>29.226932999999988</c:v>
                </c:pt>
                <c:pt idx="336">
                  <c:v>29.226932999999988</c:v>
                </c:pt>
                <c:pt idx="337">
                  <c:v>29.226932999999988</c:v>
                </c:pt>
                <c:pt idx="338">
                  <c:v>29.226932999999988</c:v>
                </c:pt>
                <c:pt idx="339">
                  <c:v>29.226932999999988</c:v>
                </c:pt>
                <c:pt idx="340">
                  <c:v>29.226932999999988</c:v>
                </c:pt>
                <c:pt idx="341">
                  <c:v>29.226932999999988</c:v>
                </c:pt>
                <c:pt idx="342">
                  <c:v>29.226932999999988</c:v>
                </c:pt>
                <c:pt idx="343">
                  <c:v>29.226932999999988</c:v>
                </c:pt>
                <c:pt idx="344">
                  <c:v>29.226932999999988</c:v>
                </c:pt>
                <c:pt idx="345">
                  <c:v>29.226932999999988</c:v>
                </c:pt>
                <c:pt idx="346">
                  <c:v>29.226932999999988</c:v>
                </c:pt>
                <c:pt idx="347">
                  <c:v>29.226932999999988</c:v>
                </c:pt>
                <c:pt idx="348">
                  <c:v>29.226932999999988</c:v>
                </c:pt>
                <c:pt idx="349">
                  <c:v>29.226932999999988</c:v>
                </c:pt>
                <c:pt idx="350">
                  <c:v>29.226932999999988</c:v>
                </c:pt>
                <c:pt idx="351">
                  <c:v>29.226932999999988</c:v>
                </c:pt>
                <c:pt idx="352">
                  <c:v>29.226932999999988</c:v>
                </c:pt>
                <c:pt idx="353">
                  <c:v>29.226932999999988</c:v>
                </c:pt>
                <c:pt idx="354">
                  <c:v>29.226932999999988</c:v>
                </c:pt>
                <c:pt idx="355">
                  <c:v>29.226932999999988</c:v>
                </c:pt>
                <c:pt idx="356">
                  <c:v>29.226932999999988</c:v>
                </c:pt>
                <c:pt idx="357">
                  <c:v>29.226932999999988</c:v>
                </c:pt>
                <c:pt idx="358">
                  <c:v>29.226932999999988</c:v>
                </c:pt>
                <c:pt idx="359">
                  <c:v>29.226932999999988</c:v>
                </c:pt>
                <c:pt idx="360">
                  <c:v>29.226932999999988</c:v>
                </c:pt>
                <c:pt idx="361">
                  <c:v>29.226932999999988</c:v>
                </c:pt>
                <c:pt idx="362">
                  <c:v>29.226932999999988</c:v>
                </c:pt>
                <c:pt idx="363">
                  <c:v>29.226932999999988</c:v>
                </c:pt>
                <c:pt idx="364">
                  <c:v>29.226932999999988</c:v>
                </c:pt>
                <c:pt idx="365">
                  <c:v>29.226932999999988</c:v>
                </c:pt>
                <c:pt idx="366">
                  <c:v>29.226932999999988</c:v>
                </c:pt>
                <c:pt idx="367">
                  <c:v>29.226932999999988</c:v>
                </c:pt>
                <c:pt idx="368">
                  <c:v>29.226932999999988</c:v>
                </c:pt>
                <c:pt idx="369">
                  <c:v>29.226932999999988</c:v>
                </c:pt>
                <c:pt idx="370">
                  <c:v>29.226932999999988</c:v>
                </c:pt>
                <c:pt idx="371">
                  <c:v>29.226932999999988</c:v>
                </c:pt>
                <c:pt idx="372">
                  <c:v>29.226932999999988</c:v>
                </c:pt>
                <c:pt idx="373">
                  <c:v>29.226932999999988</c:v>
                </c:pt>
                <c:pt idx="374">
                  <c:v>29.226932999999988</c:v>
                </c:pt>
                <c:pt idx="375">
                  <c:v>29.226932999999988</c:v>
                </c:pt>
                <c:pt idx="376">
                  <c:v>29.226932999999988</c:v>
                </c:pt>
                <c:pt idx="377">
                  <c:v>29.226932999999988</c:v>
                </c:pt>
                <c:pt idx="378">
                  <c:v>29.226932999999988</c:v>
                </c:pt>
                <c:pt idx="379">
                  <c:v>29.226932999999988</c:v>
                </c:pt>
                <c:pt idx="380">
                  <c:v>29.226932999999988</c:v>
                </c:pt>
                <c:pt idx="381">
                  <c:v>29.226932999999988</c:v>
                </c:pt>
                <c:pt idx="382">
                  <c:v>29.226932999999988</c:v>
                </c:pt>
                <c:pt idx="383">
                  <c:v>29.226932999999988</c:v>
                </c:pt>
                <c:pt idx="384">
                  <c:v>29.226932999999988</c:v>
                </c:pt>
                <c:pt idx="385">
                  <c:v>29.226932999999988</c:v>
                </c:pt>
                <c:pt idx="386">
                  <c:v>29.226932999999988</c:v>
                </c:pt>
                <c:pt idx="387">
                  <c:v>29.226932999999988</c:v>
                </c:pt>
                <c:pt idx="388">
                  <c:v>29.226932999999988</c:v>
                </c:pt>
                <c:pt idx="389">
                  <c:v>29.226932999999988</c:v>
                </c:pt>
                <c:pt idx="390">
                  <c:v>29.226932999999988</c:v>
                </c:pt>
                <c:pt idx="391">
                  <c:v>29.226932999999988</c:v>
                </c:pt>
                <c:pt idx="392">
                  <c:v>29.226932999999988</c:v>
                </c:pt>
                <c:pt idx="393">
                  <c:v>29.226932999999988</c:v>
                </c:pt>
                <c:pt idx="394">
                  <c:v>29.226932999999988</c:v>
                </c:pt>
                <c:pt idx="395">
                  <c:v>29.226932999999988</c:v>
                </c:pt>
                <c:pt idx="396">
                  <c:v>29.226932999999988</c:v>
                </c:pt>
                <c:pt idx="397">
                  <c:v>29.226932999999988</c:v>
                </c:pt>
                <c:pt idx="398">
                  <c:v>29.226932999999988</c:v>
                </c:pt>
                <c:pt idx="399">
                  <c:v>29.226932999999988</c:v>
                </c:pt>
                <c:pt idx="400">
                  <c:v>29.226932999999988</c:v>
                </c:pt>
                <c:pt idx="401">
                  <c:v>29.226932999999988</c:v>
                </c:pt>
                <c:pt idx="402">
                  <c:v>29.226932999999988</c:v>
                </c:pt>
                <c:pt idx="403">
                  <c:v>29.226932999999988</c:v>
                </c:pt>
                <c:pt idx="404">
                  <c:v>29.226932999999988</c:v>
                </c:pt>
                <c:pt idx="405">
                  <c:v>29.226932999999988</c:v>
                </c:pt>
                <c:pt idx="406">
                  <c:v>29.226932999999988</c:v>
                </c:pt>
                <c:pt idx="407">
                  <c:v>29.226932999999988</c:v>
                </c:pt>
                <c:pt idx="408">
                  <c:v>29.226932999999988</c:v>
                </c:pt>
                <c:pt idx="409">
                  <c:v>29.226932999999988</c:v>
                </c:pt>
                <c:pt idx="410">
                  <c:v>29.226932999999988</c:v>
                </c:pt>
                <c:pt idx="411">
                  <c:v>29.226932999999988</c:v>
                </c:pt>
                <c:pt idx="412">
                  <c:v>29.226932999999988</c:v>
                </c:pt>
                <c:pt idx="413">
                  <c:v>29.226932999999988</c:v>
                </c:pt>
                <c:pt idx="414">
                  <c:v>29.226932999999988</c:v>
                </c:pt>
                <c:pt idx="415">
                  <c:v>29.226932999999988</c:v>
                </c:pt>
                <c:pt idx="416">
                  <c:v>29.226932999999988</c:v>
                </c:pt>
                <c:pt idx="417">
                  <c:v>29.226932999999988</c:v>
                </c:pt>
                <c:pt idx="418">
                  <c:v>29.226932999999988</c:v>
                </c:pt>
                <c:pt idx="419">
                  <c:v>29.226932999999988</c:v>
                </c:pt>
                <c:pt idx="420">
                  <c:v>29.226932999999988</c:v>
                </c:pt>
                <c:pt idx="421">
                  <c:v>29.226932999999988</c:v>
                </c:pt>
                <c:pt idx="422">
                  <c:v>29.226932999999988</c:v>
                </c:pt>
                <c:pt idx="423">
                  <c:v>29.226932999999988</c:v>
                </c:pt>
                <c:pt idx="424">
                  <c:v>29.226932999999988</c:v>
                </c:pt>
                <c:pt idx="425">
                  <c:v>29.226932999999988</c:v>
                </c:pt>
                <c:pt idx="426">
                  <c:v>29.226932999999988</c:v>
                </c:pt>
                <c:pt idx="427">
                  <c:v>29.226932999999988</c:v>
                </c:pt>
                <c:pt idx="428">
                  <c:v>29.226932999999988</c:v>
                </c:pt>
                <c:pt idx="429">
                  <c:v>29.226932999999988</c:v>
                </c:pt>
                <c:pt idx="430">
                  <c:v>29.226932999999988</c:v>
                </c:pt>
                <c:pt idx="431">
                  <c:v>29.226932999999988</c:v>
                </c:pt>
                <c:pt idx="432">
                  <c:v>29.226932999999988</c:v>
                </c:pt>
                <c:pt idx="433">
                  <c:v>29.226932999999988</c:v>
                </c:pt>
                <c:pt idx="434">
                  <c:v>29.226932999999988</c:v>
                </c:pt>
                <c:pt idx="435">
                  <c:v>29.226932999999988</c:v>
                </c:pt>
                <c:pt idx="436">
                  <c:v>29.226932999999988</c:v>
                </c:pt>
                <c:pt idx="437">
                  <c:v>29.226932999999988</c:v>
                </c:pt>
                <c:pt idx="438">
                  <c:v>29.226932999999988</c:v>
                </c:pt>
                <c:pt idx="439">
                  <c:v>29.226932999999988</c:v>
                </c:pt>
                <c:pt idx="440">
                  <c:v>29.226932999999988</c:v>
                </c:pt>
                <c:pt idx="441">
                  <c:v>29.226932999999988</c:v>
                </c:pt>
                <c:pt idx="442">
                  <c:v>29.226932999999988</c:v>
                </c:pt>
                <c:pt idx="443">
                  <c:v>29.226932999999988</c:v>
                </c:pt>
                <c:pt idx="444">
                  <c:v>29.226932999999988</c:v>
                </c:pt>
                <c:pt idx="445">
                  <c:v>29.226932999999988</c:v>
                </c:pt>
                <c:pt idx="446">
                  <c:v>29.226932999999988</c:v>
                </c:pt>
                <c:pt idx="447">
                  <c:v>29.226932999999988</c:v>
                </c:pt>
                <c:pt idx="448">
                  <c:v>29.226932999999988</c:v>
                </c:pt>
                <c:pt idx="449">
                  <c:v>29.226932999999988</c:v>
                </c:pt>
                <c:pt idx="450">
                  <c:v>29.226932999999988</c:v>
                </c:pt>
                <c:pt idx="451">
                  <c:v>29.226932999999988</c:v>
                </c:pt>
                <c:pt idx="452">
                  <c:v>29.226932999999988</c:v>
                </c:pt>
                <c:pt idx="453">
                  <c:v>29.226932999999988</c:v>
                </c:pt>
                <c:pt idx="454">
                  <c:v>29.226932999999988</c:v>
                </c:pt>
                <c:pt idx="455">
                  <c:v>29.226932999999988</c:v>
                </c:pt>
                <c:pt idx="456">
                  <c:v>29.226932999999988</c:v>
                </c:pt>
                <c:pt idx="457">
                  <c:v>29.226932999999988</c:v>
                </c:pt>
                <c:pt idx="458">
                  <c:v>29.226932999999988</c:v>
                </c:pt>
                <c:pt idx="459">
                  <c:v>29.226932999999988</c:v>
                </c:pt>
                <c:pt idx="460">
                  <c:v>29.226932999999988</c:v>
                </c:pt>
                <c:pt idx="461">
                  <c:v>29.226932999999988</c:v>
                </c:pt>
                <c:pt idx="462">
                  <c:v>29.226932999999988</c:v>
                </c:pt>
                <c:pt idx="463">
                  <c:v>29.226932999999988</c:v>
                </c:pt>
                <c:pt idx="464">
                  <c:v>29.226932999999988</c:v>
                </c:pt>
                <c:pt idx="465">
                  <c:v>29.226932999999988</c:v>
                </c:pt>
                <c:pt idx="466">
                  <c:v>29.226932999999988</c:v>
                </c:pt>
                <c:pt idx="467">
                  <c:v>29.226932999999988</c:v>
                </c:pt>
                <c:pt idx="468">
                  <c:v>29.226932999999988</c:v>
                </c:pt>
                <c:pt idx="469">
                  <c:v>29.226932999999988</c:v>
                </c:pt>
                <c:pt idx="470">
                  <c:v>29.226932999999988</c:v>
                </c:pt>
                <c:pt idx="471">
                  <c:v>29.226932999999988</c:v>
                </c:pt>
                <c:pt idx="472">
                  <c:v>29.226932999999988</c:v>
                </c:pt>
                <c:pt idx="473">
                  <c:v>29.226932999999988</c:v>
                </c:pt>
                <c:pt idx="474">
                  <c:v>29.226932999999988</c:v>
                </c:pt>
                <c:pt idx="475">
                  <c:v>29.226932999999988</c:v>
                </c:pt>
                <c:pt idx="476">
                  <c:v>29.226932999999988</c:v>
                </c:pt>
                <c:pt idx="477">
                  <c:v>29.226932999999988</c:v>
                </c:pt>
                <c:pt idx="478">
                  <c:v>29.226932999999988</c:v>
                </c:pt>
                <c:pt idx="479">
                  <c:v>29.226932999999988</c:v>
                </c:pt>
                <c:pt idx="480">
                  <c:v>29.226932999999988</c:v>
                </c:pt>
                <c:pt idx="481">
                  <c:v>29.226932999999988</c:v>
                </c:pt>
                <c:pt idx="482">
                  <c:v>29.226932999999988</c:v>
                </c:pt>
                <c:pt idx="483">
                  <c:v>29.226932999999988</c:v>
                </c:pt>
                <c:pt idx="484">
                  <c:v>29.226932999999988</c:v>
                </c:pt>
                <c:pt idx="485">
                  <c:v>29.226932999999988</c:v>
                </c:pt>
                <c:pt idx="486">
                  <c:v>29.226932999999988</c:v>
                </c:pt>
                <c:pt idx="487">
                  <c:v>29.226932999999988</c:v>
                </c:pt>
                <c:pt idx="488">
                  <c:v>29.226932999999988</c:v>
                </c:pt>
                <c:pt idx="489">
                  <c:v>29.226932999999988</c:v>
                </c:pt>
                <c:pt idx="490">
                  <c:v>29.226932999999988</c:v>
                </c:pt>
                <c:pt idx="491">
                  <c:v>29.226932999999988</c:v>
                </c:pt>
                <c:pt idx="492">
                  <c:v>29.226932999999988</c:v>
                </c:pt>
                <c:pt idx="493">
                  <c:v>29.226932999999988</c:v>
                </c:pt>
                <c:pt idx="494">
                  <c:v>29.226932999999988</c:v>
                </c:pt>
                <c:pt idx="495">
                  <c:v>29.226932999999988</c:v>
                </c:pt>
                <c:pt idx="496">
                  <c:v>29.226932999999988</c:v>
                </c:pt>
                <c:pt idx="497">
                  <c:v>29.226932999999988</c:v>
                </c:pt>
                <c:pt idx="498">
                  <c:v>29.226932999999988</c:v>
                </c:pt>
                <c:pt idx="499">
                  <c:v>29.226932999999988</c:v>
                </c:pt>
                <c:pt idx="500">
                  <c:v>29.226932999999988</c:v>
                </c:pt>
                <c:pt idx="501">
                  <c:v>29.226932999999988</c:v>
                </c:pt>
                <c:pt idx="502">
                  <c:v>29.226932999999988</c:v>
                </c:pt>
                <c:pt idx="503">
                  <c:v>29.226932999999988</c:v>
                </c:pt>
                <c:pt idx="504">
                  <c:v>29.226932999999988</c:v>
                </c:pt>
                <c:pt idx="505">
                  <c:v>29.226932999999988</c:v>
                </c:pt>
                <c:pt idx="506">
                  <c:v>29.226932999999988</c:v>
                </c:pt>
                <c:pt idx="507">
                  <c:v>29.226932999999988</c:v>
                </c:pt>
                <c:pt idx="508">
                  <c:v>29.226932999999988</c:v>
                </c:pt>
                <c:pt idx="509">
                  <c:v>29.226932999999988</c:v>
                </c:pt>
                <c:pt idx="510">
                  <c:v>29.226932999999988</c:v>
                </c:pt>
                <c:pt idx="511">
                  <c:v>29.226932999999988</c:v>
                </c:pt>
                <c:pt idx="512">
                  <c:v>29.226932999999988</c:v>
                </c:pt>
                <c:pt idx="513">
                  <c:v>29.226932999999988</c:v>
                </c:pt>
                <c:pt idx="514">
                  <c:v>29.226932999999988</c:v>
                </c:pt>
                <c:pt idx="515">
                  <c:v>29.226932999999988</c:v>
                </c:pt>
                <c:pt idx="516">
                  <c:v>29.226932999999988</c:v>
                </c:pt>
                <c:pt idx="517">
                  <c:v>29.226932999999988</c:v>
                </c:pt>
                <c:pt idx="518">
                  <c:v>29.226932999999988</c:v>
                </c:pt>
                <c:pt idx="519">
                  <c:v>29.226932999999988</c:v>
                </c:pt>
                <c:pt idx="520">
                  <c:v>29.226932999999988</c:v>
                </c:pt>
                <c:pt idx="521">
                  <c:v>29.226932999999988</c:v>
                </c:pt>
                <c:pt idx="522">
                  <c:v>29.226932999999988</c:v>
                </c:pt>
                <c:pt idx="523">
                  <c:v>29.226932999999988</c:v>
                </c:pt>
                <c:pt idx="524">
                  <c:v>29.226932999999988</c:v>
                </c:pt>
                <c:pt idx="525">
                  <c:v>29.226932999999988</c:v>
                </c:pt>
                <c:pt idx="526">
                  <c:v>29.226932999999988</c:v>
                </c:pt>
                <c:pt idx="527">
                  <c:v>29.226932999999988</c:v>
                </c:pt>
                <c:pt idx="528">
                  <c:v>29.226932999999988</c:v>
                </c:pt>
                <c:pt idx="529">
                  <c:v>29.226932999999988</c:v>
                </c:pt>
                <c:pt idx="530">
                  <c:v>29.226932999999988</c:v>
                </c:pt>
                <c:pt idx="531">
                  <c:v>29.226932999999988</c:v>
                </c:pt>
                <c:pt idx="532">
                  <c:v>29.226932999999988</c:v>
                </c:pt>
                <c:pt idx="533">
                  <c:v>29.226932999999988</c:v>
                </c:pt>
                <c:pt idx="534">
                  <c:v>29.226932999999988</c:v>
                </c:pt>
                <c:pt idx="535">
                  <c:v>29.226932999999988</c:v>
                </c:pt>
                <c:pt idx="536">
                  <c:v>29.226932999999988</c:v>
                </c:pt>
                <c:pt idx="537">
                  <c:v>29.226932999999988</c:v>
                </c:pt>
                <c:pt idx="538">
                  <c:v>29.226932999999988</c:v>
                </c:pt>
                <c:pt idx="539">
                  <c:v>29.226932999999988</c:v>
                </c:pt>
                <c:pt idx="540">
                  <c:v>29.226932999999988</c:v>
                </c:pt>
                <c:pt idx="541">
                  <c:v>29.226932999999988</c:v>
                </c:pt>
                <c:pt idx="542">
                  <c:v>29.226932999999988</c:v>
                </c:pt>
                <c:pt idx="543">
                  <c:v>29.226932999999988</c:v>
                </c:pt>
                <c:pt idx="544">
                  <c:v>29.226932999999988</c:v>
                </c:pt>
                <c:pt idx="545">
                  <c:v>29.226932999999988</c:v>
                </c:pt>
                <c:pt idx="546">
                  <c:v>29.226932999999988</c:v>
                </c:pt>
                <c:pt idx="547">
                  <c:v>29.226932999999988</c:v>
                </c:pt>
                <c:pt idx="548">
                  <c:v>29.226932999999988</c:v>
                </c:pt>
                <c:pt idx="549">
                  <c:v>29.226932999999988</c:v>
                </c:pt>
                <c:pt idx="550">
                  <c:v>29.226932999999988</c:v>
                </c:pt>
                <c:pt idx="551">
                  <c:v>29.226932999999988</c:v>
                </c:pt>
                <c:pt idx="552">
                  <c:v>29.226932999999988</c:v>
                </c:pt>
                <c:pt idx="553">
                  <c:v>29.226932999999988</c:v>
                </c:pt>
                <c:pt idx="554">
                  <c:v>29.226932999999988</c:v>
                </c:pt>
                <c:pt idx="555">
                  <c:v>29.226932999999988</c:v>
                </c:pt>
                <c:pt idx="556">
                  <c:v>29.226932999999988</c:v>
                </c:pt>
                <c:pt idx="557">
                  <c:v>29.226932999999988</c:v>
                </c:pt>
                <c:pt idx="558">
                  <c:v>29.226932999999988</c:v>
                </c:pt>
                <c:pt idx="559">
                  <c:v>29.226932999999988</c:v>
                </c:pt>
                <c:pt idx="560">
                  <c:v>29.226932999999988</c:v>
                </c:pt>
                <c:pt idx="561">
                  <c:v>29.226932999999988</c:v>
                </c:pt>
                <c:pt idx="562">
                  <c:v>29.226932999999988</c:v>
                </c:pt>
                <c:pt idx="563">
                  <c:v>29.226932999999988</c:v>
                </c:pt>
                <c:pt idx="564">
                  <c:v>29.226932999999988</c:v>
                </c:pt>
                <c:pt idx="565">
                  <c:v>29.226932999999988</c:v>
                </c:pt>
                <c:pt idx="566">
                  <c:v>29.226932999999988</c:v>
                </c:pt>
                <c:pt idx="567">
                  <c:v>29.226932999999988</c:v>
                </c:pt>
                <c:pt idx="568">
                  <c:v>29.226932999999988</c:v>
                </c:pt>
                <c:pt idx="569">
                  <c:v>29.226932999999988</c:v>
                </c:pt>
                <c:pt idx="570">
                  <c:v>29.226932999999988</c:v>
                </c:pt>
                <c:pt idx="571">
                  <c:v>29.226932999999988</c:v>
                </c:pt>
                <c:pt idx="572">
                  <c:v>29.226932999999988</c:v>
                </c:pt>
                <c:pt idx="573">
                  <c:v>29.226932999999988</c:v>
                </c:pt>
                <c:pt idx="574">
                  <c:v>29.226932999999988</c:v>
                </c:pt>
                <c:pt idx="575">
                  <c:v>29.226932999999988</c:v>
                </c:pt>
                <c:pt idx="576">
                  <c:v>29.226932999999988</c:v>
                </c:pt>
                <c:pt idx="577">
                  <c:v>29.226932999999988</c:v>
                </c:pt>
                <c:pt idx="578">
                  <c:v>29.226932999999988</c:v>
                </c:pt>
                <c:pt idx="579">
                  <c:v>29.226932999999988</c:v>
                </c:pt>
                <c:pt idx="580">
                  <c:v>29.226932999999988</c:v>
                </c:pt>
                <c:pt idx="581">
                  <c:v>29.226932999999988</c:v>
                </c:pt>
                <c:pt idx="582">
                  <c:v>29.226932999999988</c:v>
                </c:pt>
                <c:pt idx="583">
                  <c:v>29.226932999999988</c:v>
                </c:pt>
                <c:pt idx="584">
                  <c:v>29.226932999999988</c:v>
                </c:pt>
                <c:pt idx="585">
                  <c:v>29.226932999999988</c:v>
                </c:pt>
                <c:pt idx="586">
                  <c:v>29.226932999999988</c:v>
                </c:pt>
                <c:pt idx="587">
                  <c:v>29.226932999999988</c:v>
                </c:pt>
                <c:pt idx="588">
                  <c:v>29.226932999999988</c:v>
                </c:pt>
                <c:pt idx="589">
                  <c:v>29.226932999999988</c:v>
                </c:pt>
                <c:pt idx="590">
                  <c:v>29.226932999999988</c:v>
                </c:pt>
                <c:pt idx="591">
                  <c:v>29.226932999999988</c:v>
                </c:pt>
                <c:pt idx="592">
                  <c:v>29.226932999999988</c:v>
                </c:pt>
                <c:pt idx="593">
                  <c:v>29.226932999999988</c:v>
                </c:pt>
                <c:pt idx="594">
                  <c:v>29.226932999999988</c:v>
                </c:pt>
                <c:pt idx="595">
                  <c:v>29.226932999999988</c:v>
                </c:pt>
                <c:pt idx="596">
                  <c:v>29.226932999999988</c:v>
                </c:pt>
                <c:pt idx="597">
                  <c:v>29.226932999999988</c:v>
                </c:pt>
                <c:pt idx="598">
                  <c:v>29.226932999999988</c:v>
                </c:pt>
                <c:pt idx="599">
                  <c:v>29.226932999999988</c:v>
                </c:pt>
                <c:pt idx="600">
                  <c:v>29.226932999999988</c:v>
                </c:pt>
                <c:pt idx="601">
                  <c:v>29.226932999999988</c:v>
                </c:pt>
                <c:pt idx="602">
                  <c:v>29.226932999999988</c:v>
                </c:pt>
                <c:pt idx="603">
                  <c:v>29.226932999999988</c:v>
                </c:pt>
                <c:pt idx="604">
                  <c:v>29.226932999999988</c:v>
                </c:pt>
                <c:pt idx="605">
                  <c:v>29.226932999999988</c:v>
                </c:pt>
                <c:pt idx="606">
                  <c:v>29.226932999999988</c:v>
                </c:pt>
                <c:pt idx="607">
                  <c:v>29.226932999999988</c:v>
                </c:pt>
                <c:pt idx="608">
                  <c:v>29.226932999999988</c:v>
                </c:pt>
                <c:pt idx="609">
                  <c:v>29.226932999999988</c:v>
                </c:pt>
                <c:pt idx="610">
                  <c:v>29.226932999999988</c:v>
                </c:pt>
                <c:pt idx="611">
                  <c:v>29.226932999999988</c:v>
                </c:pt>
                <c:pt idx="612">
                  <c:v>29.226932999999988</c:v>
                </c:pt>
                <c:pt idx="613">
                  <c:v>29.226932999999988</c:v>
                </c:pt>
                <c:pt idx="614">
                  <c:v>29.226932999999988</c:v>
                </c:pt>
                <c:pt idx="615">
                  <c:v>29.226932999999988</c:v>
                </c:pt>
                <c:pt idx="616">
                  <c:v>29.226932999999988</c:v>
                </c:pt>
                <c:pt idx="617">
                  <c:v>29.226932999999988</c:v>
                </c:pt>
                <c:pt idx="618">
                  <c:v>29.226932999999988</c:v>
                </c:pt>
                <c:pt idx="619">
                  <c:v>29.226932999999988</c:v>
                </c:pt>
                <c:pt idx="620">
                  <c:v>29.226932999999988</c:v>
                </c:pt>
                <c:pt idx="621">
                  <c:v>29.226932999999988</c:v>
                </c:pt>
                <c:pt idx="622">
                  <c:v>29.226932999999988</c:v>
                </c:pt>
                <c:pt idx="623">
                  <c:v>29.226932999999988</c:v>
                </c:pt>
                <c:pt idx="624">
                  <c:v>29.226932999999988</c:v>
                </c:pt>
                <c:pt idx="625">
                  <c:v>29.226932999999988</c:v>
                </c:pt>
                <c:pt idx="626">
                  <c:v>29.226932999999988</c:v>
                </c:pt>
                <c:pt idx="627">
                  <c:v>29.226932999999988</c:v>
                </c:pt>
                <c:pt idx="628">
                  <c:v>29.226932999999988</c:v>
                </c:pt>
                <c:pt idx="629">
                  <c:v>29.226932999999988</c:v>
                </c:pt>
                <c:pt idx="630">
                  <c:v>29.226932999999988</c:v>
                </c:pt>
                <c:pt idx="631">
                  <c:v>29.226932999999988</c:v>
                </c:pt>
                <c:pt idx="632">
                  <c:v>29.226932999999988</c:v>
                </c:pt>
                <c:pt idx="633">
                  <c:v>29.226932999999988</c:v>
                </c:pt>
                <c:pt idx="634">
                  <c:v>29.226932999999988</c:v>
                </c:pt>
                <c:pt idx="635">
                  <c:v>29.226932999999988</c:v>
                </c:pt>
                <c:pt idx="636">
                  <c:v>29.226932999999988</c:v>
                </c:pt>
                <c:pt idx="637">
                  <c:v>29.226932999999988</c:v>
                </c:pt>
                <c:pt idx="638">
                  <c:v>29.226932999999988</c:v>
                </c:pt>
                <c:pt idx="639">
                  <c:v>29.226932999999988</c:v>
                </c:pt>
                <c:pt idx="640">
                  <c:v>29.226932999999988</c:v>
                </c:pt>
                <c:pt idx="641">
                  <c:v>29.226932999999988</c:v>
                </c:pt>
                <c:pt idx="642">
                  <c:v>29.226932999999988</c:v>
                </c:pt>
                <c:pt idx="643">
                  <c:v>29.226932999999988</c:v>
                </c:pt>
                <c:pt idx="644">
                  <c:v>29.226932999999988</c:v>
                </c:pt>
                <c:pt idx="645">
                  <c:v>29.226932999999988</c:v>
                </c:pt>
                <c:pt idx="646">
                  <c:v>29.226932999999988</c:v>
                </c:pt>
                <c:pt idx="647">
                  <c:v>29.226932999999988</c:v>
                </c:pt>
                <c:pt idx="648">
                  <c:v>29.226932999999988</c:v>
                </c:pt>
                <c:pt idx="649">
                  <c:v>29.226932999999988</c:v>
                </c:pt>
                <c:pt idx="650">
                  <c:v>29.226932999999988</c:v>
                </c:pt>
                <c:pt idx="651">
                  <c:v>29.226932999999988</c:v>
                </c:pt>
                <c:pt idx="652">
                  <c:v>29.226932999999988</c:v>
                </c:pt>
                <c:pt idx="653">
                  <c:v>29.226932999999988</c:v>
                </c:pt>
                <c:pt idx="654">
                  <c:v>29.226932999999988</c:v>
                </c:pt>
                <c:pt idx="655">
                  <c:v>29.226932999999988</c:v>
                </c:pt>
                <c:pt idx="656">
                  <c:v>29.226932999999988</c:v>
                </c:pt>
                <c:pt idx="657">
                  <c:v>29.226932999999988</c:v>
                </c:pt>
                <c:pt idx="658">
                  <c:v>29.226932999999988</c:v>
                </c:pt>
                <c:pt idx="659">
                  <c:v>29.226932999999988</c:v>
                </c:pt>
                <c:pt idx="660">
                  <c:v>29.226932999999988</c:v>
                </c:pt>
                <c:pt idx="661">
                  <c:v>29.226932999999988</c:v>
                </c:pt>
                <c:pt idx="662">
                  <c:v>29.226932999999988</c:v>
                </c:pt>
                <c:pt idx="663">
                  <c:v>29.226932999999988</c:v>
                </c:pt>
                <c:pt idx="664">
                  <c:v>29.226932999999988</c:v>
                </c:pt>
                <c:pt idx="665">
                  <c:v>29.226932999999988</c:v>
                </c:pt>
                <c:pt idx="666">
                  <c:v>29.226932999999988</c:v>
                </c:pt>
                <c:pt idx="667">
                  <c:v>29.226932999999988</c:v>
                </c:pt>
                <c:pt idx="668">
                  <c:v>29.226932999999988</c:v>
                </c:pt>
                <c:pt idx="669">
                  <c:v>29.226932999999988</c:v>
                </c:pt>
                <c:pt idx="670">
                  <c:v>29.226932999999988</c:v>
                </c:pt>
                <c:pt idx="671">
                  <c:v>29.226932999999988</c:v>
                </c:pt>
                <c:pt idx="672">
                  <c:v>29.226932999999988</c:v>
                </c:pt>
                <c:pt idx="673">
                  <c:v>29.226932999999988</c:v>
                </c:pt>
                <c:pt idx="674">
                  <c:v>29.226932999999988</c:v>
                </c:pt>
                <c:pt idx="675">
                  <c:v>29.226932999999988</c:v>
                </c:pt>
                <c:pt idx="676">
                  <c:v>29.226932999999988</c:v>
                </c:pt>
                <c:pt idx="677">
                  <c:v>29.226932999999988</c:v>
                </c:pt>
                <c:pt idx="678">
                  <c:v>29.226932999999988</c:v>
                </c:pt>
                <c:pt idx="679">
                  <c:v>29.226932999999988</c:v>
                </c:pt>
                <c:pt idx="680">
                  <c:v>29.226932999999988</c:v>
                </c:pt>
                <c:pt idx="681">
                  <c:v>29.226932999999988</c:v>
                </c:pt>
                <c:pt idx="682">
                  <c:v>29.226932999999988</c:v>
                </c:pt>
                <c:pt idx="683">
                  <c:v>29.226932999999988</c:v>
                </c:pt>
                <c:pt idx="684">
                  <c:v>29.226932999999988</c:v>
                </c:pt>
                <c:pt idx="685">
                  <c:v>29.226932999999988</c:v>
                </c:pt>
                <c:pt idx="686">
                  <c:v>29.226932999999988</c:v>
                </c:pt>
                <c:pt idx="687">
                  <c:v>29.226932999999988</c:v>
                </c:pt>
                <c:pt idx="688">
                  <c:v>29.226932999999988</c:v>
                </c:pt>
                <c:pt idx="689">
                  <c:v>29.226932999999988</c:v>
                </c:pt>
                <c:pt idx="690">
                  <c:v>29.226932999999988</c:v>
                </c:pt>
                <c:pt idx="691">
                  <c:v>29.226932999999988</c:v>
                </c:pt>
                <c:pt idx="692">
                  <c:v>29.226932999999988</c:v>
                </c:pt>
                <c:pt idx="693">
                  <c:v>29.226932999999988</c:v>
                </c:pt>
                <c:pt idx="694">
                  <c:v>29.226932999999988</c:v>
                </c:pt>
                <c:pt idx="695">
                  <c:v>29.226932999999988</c:v>
                </c:pt>
                <c:pt idx="696">
                  <c:v>29.226932999999988</c:v>
                </c:pt>
                <c:pt idx="697">
                  <c:v>29.226932999999988</c:v>
                </c:pt>
                <c:pt idx="698">
                  <c:v>29.226932999999988</c:v>
                </c:pt>
                <c:pt idx="699">
                  <c:v>29.226932999999988</c:v>
                </c:pt>
                <c:pt idx="700">
                  <c:v>29.226932999999988</c:v>
                </c:pt>
                <c:pt idx="701">
                  <c:v>29.226932999999988</c:v>
                </c:pt>
                <c:pt idx="702">
                  <c:v>29.226932999999988</c:v>
                </c:pt>
                <c:pt idx="703">
                  <c:v>29.226932999999988</c:v>
                </c:pt>
                <c:pt idx="704">
                  <c:v>29.226932999999988</c:v>
                </c:pt>
                <c:pt idx="705">
                  <c:v>29.226932999999988</c:v>
                </c:pt>
                <c:pt idx="706">
                  <c:v>29.226932999999988</c:v>
                </c:pt>
                <c:pt idx="707">
                  <c:v>29.226932999999988</c:v>
                </c:pt>
                <c:pt idx="708">
                  <c:v>29.226932999999988</c:v>
                </c:pt>
                <c:pt idx="709">
                  <c:v>29.226932999999988</c:v>
                </c:pt>
                <c:pt idx="710">
                  <c:v>29.226932999999988</c:v>
                </c:pt>
                <c:pt idx="711">
                  <c:v>29.226932999999988</c:v>
                </c:pt>
                <c:pt idx="712">
                  <c:v>29.226932999999988</c:v>
                </c:pt>
                <c:pt idx="713">
                  <c:v>29.226932999999988</c:v>
                </c:pt>
                <c:pt idx="714">
                  <c:v>29.226932999999988</c:v>
                </c:pt>
                <c:pt idx="715">
                  <c:v>29.226932999999988</c:v>
                </c:pt>
                <c:pt idx="716">
                  <c:v>29.226932999999988</c:v>
                </c:pt>
                <c:pt idx="717">
                  <c:v>29.226932999999988</c:v>
                </c:pt>
                <c:pt idx="718">
                  <c:v>29.226932999999988</c:v>
                </c:pt>
                <c:pt idx="719">
                  <c:v>29.226932999999988</c:v>
                </c:pt>
                <c:pt idx="720">
                  <c:v>29.226932999999988</c:v>
                </c:pt>
                <c:pt idx="721">
                  <c:v>29.226932999999988</c:v>
                </c:pt>
                <c:pt idx="722">
                  <c:v>29.226932999999988</c:v>
                </c:pt>
                <c:pt idx="723">
                  <c:v>29.226932999999988</c:v>
                </c:pt>
                <c:pt idx="724">
                  <c:v>29.226932999999988</c:v>
                </c:pt>
                <c:pt idx="725">
                  <c:v>29.226932999999988</c:v>
                </c:pt>
                <c:pt idx="726">
                  <c:v>29.226932999999988</c:v>
                </c:pt>
                <c:pt idx="727">
                  <c:v>29.226932999999988</c:v>
                </c:pt>
                <c:pt idx="728">
                  <c:v>29.226932999999988</c:v>
                </c:pt>
                <c:pt idx="729">
                  <c:v>29.226932999999988</c:v>
                </c:pt>
                <c:pt idx="730">
                  <c:v>29.226932999999988</c:v>
                </c:pt>
                <c:pt idx="731">
                  <c:v>29.226932999999988</c:v>
                </c:pt>
                <c:pt idx="732">
                  <c:v>29.226932999999988</c:v>
                </c:pt>
                <c:pt idx="733">
                  <c:v>29.226932999999988</c:v>
                </c:pt>
                <c:pt idx="734">
                  <c:v>29.226932999999988</c:v>
                </c:pt>
                <c:pt idx="735">
                  <c:v>29.226932999999988</c:v>
                </c:pt>
                <c:pt idx="736">
                  <c:v>29.226932999999988</c:v>
                </c:pt>
                <c:pt idx="737">
                  <c:v>29.226932999999988</c:v>
                </c:pt>
                <c:pt idx="738">
                  <c:v>29.226932999999988</c:v>
                </c:pt>
                <c:pt idx="739">
                  <c:v>29.226932999999988</c:v>
                </c:pt>
                <c:pt idx="740">
                  <c:v>29.226932999999988</c:v>
                </c:pt>
                <c:pt idx="741">
                  <c:v>29.226932999999988</c:v>
                </c:pt>
                <c:pt idx="742">
                  <c:v>29.226932999999988</c:v>
                </c:pt>
                <c:pt idx="743">
                  <c:v>29.226932999999988</c:v>
                </c:pt>
                <c:pt idx="744">
                  <c:v>29.226932999999988</c:v>
                </c:pt>
                <c:pt idx="745">
                  <c:v>29.226932999999988</c:v>
                </c:pt>
                <c:pt idx="746">
                  <c:v>29.226932999999988</c:v>
                </c:pt>
                <c:pt idx="747">
                  <c:v>29.226932999999988</c:v>
                </c:pt>
                <c:pt idx="748">
                  <c:v>29.226932999999988</c:v>
                </c:pt>
                <c:pt idx="749">
                  <c:v>29.226932999999988</c:v>
                </c:pt>
                <c:pt idx="750">
                  <c:v>29.226932999999988</c:v>
                </c:pt>
                <c:pt idx="751">
                  <c:v>29.226932999999988</c:v>
                </c:pt>
                <c:pt idx="752">
                  <c:v>29.226932999999988</c:v>
                </c:pt>
                <c:pt idx="753">
                  <c:v>29.226932999999988</c:v>
                </c:pt>
                <c:pt idx="754">
                  <c:v>29.226932999999988</c:v>
                </c:pt>
                <c:pt idx="755">
                  <c:v>29.226932999999988</c:v>
                </c:pt>
                <c:pt idx="756">
                  <c:v>29.226932999999988</c:v>
                </c:pt>
                <c:pt idx="757">
                  <c:v>29.226932999999988</c:v>
                </c:pt>
                <c:pt idx="758">
                  <c:v>29.226932999999988</c:v>
                </c:pt>
                <c:pt idx="759">
                  <c:v>29.226932999999988</c:v>
                </c:pt>
                <c:pt idx="760">
                  <c:v>29.226932999999988</c:v>
                </c:pt>
                <c:pt idx="761">
                  <c:v>29.226932999999988</c:v>
                </c:pt>
                <c:pt idx="762">
                  <c:v>29.226932999999988</c:v>
                </c:pt>
                <c:pt idx="763">
                  <c:v>29.226932999999988</c:v>
                </c:pt>
                <c:pt idx="764">
                  <c:v>29.226932999999988</c:v>
                </c:pt>
                <c:pt idx="765">
                  <c:v>29.226932999999988</c:v>
                </c:pt>
                <c:pt idx="766">
                  <c:v>29.226932999999988</c:v>
                </c:pt>
                <c:pt idx="767">
                  <c:v>29.226932999999988</c:v>
                </c:pt>
                <c:pt idx="768">
                  <c:v>29.226932999999988</c:v>
                </c:pt>
                <c:pt idx="769">
                  <c:v>29.226932999999988</c:v>
                </c:pt>
                <c:pt idx="770">
                  <c:v>29.226932999999988</c:v>
                </c:pt>
                <c:pt idx="771">
                  <c:v>29.226932999999988</c:v>
                </c:pt>
                <c:pt idx="772">
                  <c:v>29.226932999999988</c:v>
                </c:pt>
                <c:pt idx="773">
                  <c:v>29.226932999999988</c:v>
                </c:pt>
                <c:pt idx="774">
                  <c:v>29.226932999999988</c:v>
                </c:pt>
                <c:pt idx="775">
                  <c:v>29.226932999999988</c:v>
                </c:pt>
                <c:pt idx="776">
                  <c:v>29.226932999999988</c:v>
                </c:pt>
                <c:pt idx="777">
                  <c:v>29.226932999999988</c:v>
                </c:pt>
                <c:pt idx="778">
                  <c:v>29.226932999999988</c:v>
                </c:pt>
                <c:pt idx="779">
                  <c:v>29.226932999999988</c:v>
                </c:pt>
                <c:pt idx="780">
                  <c:v>29.226932999999988</c:v>
                </c:pt>
                <c:pt idx="781">
                  <c:v>29.226932999999988</c:v>
                </c:pt>
                <c:pt idx="782">
                  <c:v>29.226932999999988</c:v>
                </c:pt>
                <c:pt idx="783">
                  <c:v>29.226932999999988</c:v>
                </c:pt>
                <c:pt idx="784">
                  <c:v>29.226932999999988</c:v>
                </c:pt>
                <c:pt idx="785">
                  <c:v>29.226932999999988</c:v>
                </c:pt>
                <c:pt idx="786">
                  <c:v>29.226932999999988</c:v>
                </c:pt>
                <c:pt idx="787">
                  <c:v>29.226932999999988</c:v>
                </c:pt>
                <c:pt idx="788">
                  <c:v>29.226932999999988</c:v>
                </c:pt>
                <c:pt idx="789">
                  <c:v>29.226932999999988</c:v>
                </c:pt>
                <c:pt idx="790">
                  <c:v>29.226932999999988</c:v>
                </c:pt>
                <c:pt idx="791">
                  <c:v>29.226932999999988</c:v>
                </c:pt>
                <c:pt idx="792">
                  <c:v>29.226932999999988</c:v>
                </c:pt>
                <c:pt idx="793">
                  <c:v>29.226932999999988</c:v>
                </c:pt>
                <c:pt idx="794">
                  <c:v>29.226932999999988</c:v>
                </c:pt>
                <c:pt idx="795">
                  <c:v>29.226932999999988</c:v>
                </c:pt>
                <c:pt idx="796">
                  <c:v>29.226932999999988</c:v>
                </c:pt>
                <c:pt idx="797">
                  <c:v>29.226932999999988</c:v>
                </c:pt>
                <c:pt idx="798">
                  <c:v>29.226932999999988</c:v>
                </c:pt>
                <c:pt idx="799">
                  <c:v>29.226932999999988</c:v>
                </c:pt>
                <c:pt idx="800">
                  <c:v>29.226932999999988</c:v>
                </c:pt>
                <c:pt idx="801">
                  <c:v>29.226932999999988</c:v>
                </c:pt>
                <c:pt idx="802">
                  <c:v>29.226932999999988</c:v>
                </c:pt>
                <c:pt idx="803">
                  <c:v>29.226932999999988</c:v>
                </c:pt>
                <c:pt idx="804">
                  <c:v>29.226932999999988</c:v>
                </c:pt>
                <c:pt idx="805">
                  <c:v>29.226932999999988</c:v>
                </c:pt>
                <c:pt idx="806">
                  <c:v>29.226932999999988</c:v>
                </c:pt>
                <c:pt idx="807">
                  <c:v>29.226932999999988</c:v>
                </c:pt>
                <c:pt idx="808">
                  <c:v>29.226932999999988</c:v>
                </c:pt>
                <c:pt idx="809">
                  <c:v>29.226932999999988</c:v>
                </c:pt>
                <c:pt idx="810">
                  <c:v>29.226932999999988</c:v>
                </c:pt>
                <c:pt idx="811">
                  <c:v>29.226932999999988</c:v>
                </c:pt>
                <c:pt idx="812">
                  <c:v>29.226932999999988</c:v>
                </c:pt>
                <c:pt idx="813">
                  <c:v>29.226932999999988</c:v>
                </c:pt>
                <c:pt idx="814">
                  <c:v>29.226932999999988</c:v>
                </c:pt>
                <c:pt idx="815">
                  <c:v>29.226932999999988</c:v>
                </c:pt>
                <c:pt idx="816">
                  <c:v>29.226932999999988</c:v>
                </c:pt>
                <c:pt idx="817">
                  <c:v>29.226932999999988</c:v>
                </c:pt>
                <c:pt idx="818">
                  <c:v>29.226932999999988</c:v>
                </c:pt>
                <c:pt idx="819">
                  <c:v>29.226932999999988</c:v>
                </c:pt>
                <c:pt idx="820">
                  <c:v>29.226932999999988</c:v>
                </c:pt>
                <c:pt idx="821">
                  <c:v>29.226932999999988</c:v>
                </c:pt>
                <c:pt idx="822">
                  <c:v>29.226932999999988</c:v>
                </c:pt>
                <c:pt idx="823">
                  <c:v>29.226932999999988</c:v>
                </c:pt>
                <c:pt idx="824">
                  <c:v>29.226932999999988</c:v>
                </c:pt>
                <c:pt idx="825">
                  <c:v>29.226932999999988</c:v>
                </c:pt>
                <c:pt idx="826">
                  <c:v>29.226932999999988</c:v>
                </c:pt>
                <c:pt idx="827">
                  <c:v>29.226932999999988</c:v>
                </c:pt>
                <c:pt idx="828">
                  <c:v>29.226932999999988</c:v>
                </c:pt>
                <c:pt idx="829">
                  <c:v>29.226932999999988</c:v>
                </c:pt>
                <c:pt idx="830">
                  <c:v>29.226932999999988</c:v>
                </c:pt>
                <c:pt idx="831">
                  <c:v>29.226932999999988</c:v>
                </c:pt>
                <c:pt idx="832">
                  <c:v>29.226932999999988</c:v>
                </c:pt>
                <c:pt idx="833">
                  <c:v>29.226932999999988</c:v>
                </c:pt>
                <c:pt idx="834">
                  <c:v>29.226932999999988</c:v>
                </c:pt>
                <c:pt idx="835">
                  <c:v>29.226932999999988</c:v>
                </c:pt>
                <c:pt idx="836">
                  <c:v>29.226932999999988</c:v>
                </c:pt>
                <c:pt idx="837">
                  <c:v>29.226932999999988</c:v>
                </c:pt>
                <c:pt idx="838">
                  <c:v>29.226932999999988</c:v>
                </c:pt>
                <c:pt idx="839">
                  <c:v>29.226932999999988</c:v>
                </c:pt>
                <c:pt idx="840">
                  <c:v>29.226932999999988</c:v>
                </c:pt>
                <c:pt idx="841">
                  <c:v>29.226932999999988</c:v>
                </c:pt>
                <c:pt idx="842">
                  <c:v>29.226932999999988</c:v>
                </c:pt>
                <c:pt idx="843">
                  <c:v>29.226932999999988</c:v>
                </c:pt>
                <c:pt idx="844">
                  <c:v>29.226932999999988</c:v>
                </c:pt>
                <c:pt idx="845">
                  <c:v>29.226932999999988</c:v>
                </c:pt>
                <c:pt idx="846">
                  <c:v>29.226932999999988</c:v>
                </c:pt>
                <c:pt idx="847">
                  <c:v>29.226932999999988</c:v>
                </c:pt>
                <c:pt idx="848">
                  <c:v>29.226932999999988</c:v>
                </c:pt>
                <c:pt idx="849">
                  <c:v>29.226932999999988</c:v>
                </c:pt>
                <c:pt idx="850">
                  <c:v>29.226932999999988</c:v>
                </c:pt>
                <c:pt idx="851">
                  <c:v>29.226932999999988</c:v>
                </c:pt>
                <c:pt idx="852">
                  <c:v>29.226932999999988</c:v>
                </c:pt>
                <c:pt idx="853">
                  <c:v>29.226932999999988</c:v>
                </c:pt>
                <c:pt idx="854">
                  <c:v>29.226932999999988</c:v>
                </c:pt>
                <c:pt idx="855">
                  <c:v>29.226932999999988</c:v>
                </c:pt>
                <c:pt idx="856">
                  <c:v>29.226932999999988</c:v>
                </c:pt>
                <c:pt idx="857">
                  <c:v>29.226932999999988</c:v>
                </c:pt>
                <c:pt idx="858">
                  <c:v>29.226932999999988</c:v>
                </c:pt>
                <c:pt idx="859">
                  <c:v>29.226932999999988</c:v>
                </c:pt>
                <c:pt idx="860">
                  <c:v>29.226932999999988</c:v>
                </c:pt>
                <c:pt idx="861">
                  <c:v>29.226932999999988</c:v>
                </c:pt>
                <c:pt idx="862">
                  <c:v>29.226932999999988</c:v>
                </c:pt>
                <c:pt idx="863">
                  <c:v>29.226932999999988</c:v>
                </c:pt>
                <c:pt idx="864">
                  <c:v>29.226932999999988</c:v>
                </c:pt>
                <c:pt idx="865">
                  <c:v>29.226932999999988</c:v>
                </c:pt>
                <c:pt idx="866">
                  <c:v>29.226932999999988</c:v>
                </c:pt>
                <c:pt idx="867">
                  <c:v>29.226932999999988</c:v>
                </c:pt>
                <c:pt idx="868">
                  <c:v>29.226932999999988</c:v>
                </c:pt>
                <c:pt idx="869">
                  <c:v>29.226932999999988</c:v>
                </c:pt>
                <c:pt idx="870">
                  <c:v>29.226932999999988</c:v>
                </c:pt>
                <c:pt idx="871">
                  <c:v>29.226932999999988</c:v>
                </c:pt>
                <c:pt idx="872">
                  <c:v>29.226932999999988</c:v>
                </c:pt>
                <c:pt idx="873">
                  <c:v>29.226932999999988</c:v>
                </c:pt>
                <c:pt idx="874">
                  <c:v>29.226932999999988</c:v>
                </c:pt>
                <c:pt idx="875">
                  <c:v>29.226932999999988</c:v>
                </c:pt>
                <c:pt idx="876">
                  <c:v>29.226932999999988</c:v>
                </c:pt>
                <c:pt idx="877">
                  <c:v>29.226932999999988</c:v>
                </c:pt>
                <c:pt idx="878">
                  <c:v>29.226932999999988</c:v>
                </c:pt>
                <c:pt idx="879">
                  <c:v>29.226932999999988</c:v>
                </c:pt>
                <c:pt idx="880">
                  <c:v>29.226932999999988</c:v>
                </c:pt>
                <c:pt idx="881">
                  <c:v>29.226932999999988</c:v>
                </c:pt>
                <c:pt idx="882">
                  <c:v>29.226932999999988</c:v>
                </c:pt>
                <c:pt idx="883">
                  <c:v>29.226932999999988</c:v>
                </c:pt>
                <c:pt idx="884">
                  <c:v>29.226932999999988</c:v>
                </c:pt>
                <c:pt idx="885">
                  <c:v>29.226932999999988</c:v>
                </c:pt>
                <c:pt idx="886">
                  <c:v>29.226932999999988</c:v>
                </c:pt>
                <c:pt idx="887">
                  <c:v>29.226932999999988</c:v>
                </c:pt>
                <c:pt idx="888">
                  <c:v>29.226932999999988</c:v>
                </c:pt>
                <c:pt idx="889">
                  <c:v>29.226932999999988</c:v>
                </c:pt>
                <c:pt idx="890">
                  <c:v>29.226932999999988</c:v>
                </c:pt>
                <c:pt idx="891">
                  <c:v>29.226932999999988</c:v>
                </c:pt>
                <c:pt idx="892">
                  <c:v>29.226932999999988</c:v>
                </c:pt>
                <c:pt idx="893">
                  <c:v>29.226932999999988</c:v>
                </c:pt>
                <c:pt idx="894">
                  <c:v>29.226932999999988</c:v>
                </c:pt>
                <c:pt idx="895">
                  <c:v>29.226932999999988</c:v>
                </c:pt>
                <c:pt idx="896">
                  <c:v>29.226932999999988</c:v>
                </c:pt>
                <c:pt idx="897">
                  <c:v>29.226932999999988</c:v>
                </c:pt>
                <c:pt idx="898">
                  <c:v>29.226932999999988</c:v>
                </c:pt>
                <c:pt idx="899">
                  <c:v>29.226932999999988</c:v>
                </c:pt>
                <c:pt idx="900">
                  <c:v>29.226932999999988</c:v>
                </c:pt>
                <c:pt idx="901">
                  <c:v>29.226932999999988</c:v>
                </c:pt>
                <c:pt idx="902">
                  <c:v>29.226932999999988</c:v>
                </c:pt>
                <c:pt idx="903">
                  <c:v>29.226932999999988</c:v>
                </c:pt>
                <c:pt idx="904">
                  <c:v>29.226932999999988</c:v>
                </c:pt>
                <c:pt idx="905">
                  <c:v>29.226932999999988</c:v>
                </c:pt>
                <c:pt idx="906">
                  <c:v>29.226932999999988</c:v>
                </c:pt>
                <c:pt idx="907">
                  <c:v>29.226932999999988</c:v>
                </c:pt>
                <c:pt idx="908">
                  <c:v>29.226932999999988</c:v>
                </c:pt>
                <c:pt idx="909">
                  <c:v>29.226932999999988</c:v>
                </c:pt>
                <c:pt idx="910">
                  <c:v>29.226932999999988</c:v>
                </c:pt>
                <c:pt idx="911">
                  <c:v>29.226932999999988</c:v>
                </c:pt>
                <c:pt idx="912">
                  <c:v>29.226932999999988</c:v>
                </c:pt>
                <c:pt idx="913">
                  <c:v>29.226932999999988</c:v>
                </c:pt>
                <c:pt idx="914">
                  <c:v>29.226932999999988</c:v>
                </c:pt>
                <c:pt idx="915">
                  <c:v>29.226932999999988</c:v>
                </c:pt>
                <c:pt idx="916">
                  <c:v>29.226932999999988</c:v>
                </c:pt>
                <c:pt idx="917">
                  <c:v>29.226932999999988</c:v>
                </c:pt>
                <c:pt idx="918">
                  <c:v>29.226932999999988</c:v>
                </c:pt>
                <c:pt idx="919">
                  <c:v>29.226932999999988</c:v>
                </c:pt>
                <c:pt idx="920">
                  <c:v>29.226932999999988</c:v>
                </c:pt>
                <c:pt idx="921">
                  <c:v>29.226932999999988</c:v>
                </c:pt>
                <c:pt idx="922">
                  <c:v>29.226932999999988</c:v>
                </c:pt>
                <c:pt idx="923">
                  <c:v>29.226932999999988</c:v>
                </c:pt>
                <c:pt idx="924">
                  <c:v>29.226932999999988</c:v>
                </c:pt>
                <c:pt idx="925">
                  <c:v>29.226932999999988</c:v>
                </c:pt>
                <c:pt idx="926">
                  <c:v>29.226932999999988</c:v>
                </c:pt>
                <c:pt idx="927">
                  <c:v>29.226932999999988</c:v>
                </c:pt>
                <c:pt idx="928">
                  <c:v>29.226932999999988</c:v>
                </c:pt>
                <c:pt idx="929">
                  <c:v>29.226932999999988</c:v>
                </c:pt>
                <c:pt idx="930">
                  <c:v>29.226932999999988</c:v>
                </c:pt>
                <c:pt idx="931">
                  <c:v>29.226932999999988</c:v>
                </c:pt>
                <c:pt idx="932">
                  <c:v>29.226932999999988</c:v>
                </c:pt>
                <c:pt idx="933">
                  <c:v>29.226932999999988</c:v>
                </c:pt>
                <c:pt idx="934">
                  <c:v>29.226932999999988</c:v>
                </c:pt>
                <c:pt idx="935">
                  <c:v>29.226932999999988</c:v>
                </c:pt>
                <c:pt idx="936">
                  <c:v>29.226932999999988</c:v>
                </c:pt>
                <c:pt idx="937">
                  <c:v>29.226932999999988</c:v>
                </c:pt>
                <c:pt idx="938">
                  <c:v>29.226932999999988</c:v>
                </c:pt>
                <c:pt idx="939">
                  <c:v>29.226932999999988</c:v>
                </c:pt>
                <c:pt idx="940">
                  <c:v>29.226932999999988</c:v>
                </c:pt>
                <c:pt idx="941">
                  <c:v>29.226932999999988</c:v>
                </c:pt>
                <c:pt idx="942">
                  <c:v>29.226932999999988</c:v>
                </c:pt>
                <c:pt idx="943">
                  <c:v>29.226932999999988</c:v>
                </c:pt>
                <c:pt idx="944">
                  <c:v>29.226932999999988</c:v>
                </c:pt>
                <c:pt idx="945">
                  <c:v>29.226932999999988</c:v>
                </c:pt>
                <c:pt idx="946">
                  <c:v>29.226932999999988</c:v>
                </c:pt>
                <c:pt idx="947">
                  <c:v>29.226932999999988</c:v>
                </c:pt>
                <c:pt idx="948">
                  <c:v>29.226932999999988</c:v>
                </c:pt>
                <c:pt idx="949">
                  <c:v>29.226932999999988</c:v>
                </c:pt>
                <c:pt idx="950">
                  <c:v>29.226932999999988</c:v>
                </c:pt>
                <c:pt idx="951">
                  <c:v>29.226932999999988</c:v>
                </c:pt>
                <c:pt idx="952">
                  <c:v>29.226932999999988</c:v>
                </c:pt>
                <c:pt idx="953">
                  <c:v>29.226932999999988</c:v>
                </c:pt>
                <c:pt idx="954">
                  <c:v>29.226932999999988</c:v>
                </c:pt>
                <c:pt idx="955">
                  <c:v>29.226932999999988</c:v>
                </c:pt>
                <c:pt idx="956">
                  <c:v>29.226932999999988</c:v>
                </c:pt>
                <c:pt idx="957">
                  <c:v>29.226932999999988</c:v>
                </c:pt>
                <c:pt idx="958">
                  <c:v>29.226932999999988</c:v>
                </c:pt>
                <c:pt idx="959">
                  <c:v>29.226932999999988</c:v>
                </c:pt>
                <c:pt idx="960">
                  <c:v>29.226932999999988</c:v>
                </c:pt>
                <c:pt idx="961">
                  <c:v>29.226932999999988</c:v>
                </c:pt>
                <c:pt idx="962">
                  <c:v>29.226932999999988</c:v>
                </c:pt>
                <c:pt idx="963">
                  <c:v>29.226932999999988</c:v>
                </c:pt>
                <c:pt idx="964">
                  <c:v>29.226932999999988</c:v>
                </c:pt>
                <c:pt idx="965">
                  <c:v>29.226932999999988</c:v>
                </c:pt>
                <c:pt idx="966">
                  <c:v>29.226932999999988</c:v>
                </c:pt>
                <c:pt idx="967">
                  <c:v>29.226932999999988</c:v>
                </c:pt>
                <c:pt idx="968">
                  <c:v>29.226932999999988</c:v>
                </c:pt>
                <c:pt idx="969">
                  <c:v>29.226932999999988</c:v>
                </c:pt>
                <c:pt idx="970">
                  <c:v>29.226932999999988</c:v>
                </c:pt>
                <c:pt idx="971">
                  <c:v>29.226932999999988</c:v>
                </c:pt>
                <c:pt idx="972">
                  <c:v>29.226932999999988</c:v>
                </c:pt>
                <c:pt idx="973">
                  <c:v>29.226932999999988</c:v>
                </c:pt>
                <c:pt idx="974">
                  <c:v>29.226932999999988</c:v>
                </c:pt>
                <c:pt idx="975">
                  <c:v>29.226932999999988</c:v>
                </c:pt>
                <c:pt idx="976">
                  <c:v>29.226932999999988</c:v>
                </c:pt>
                <c:pt idx="977">
                  <c:v>29.226932999999988</c:v>
                </c:pt>
                <c:pt idx="978">
                  <c:v>29.226932999999988</c:v>
                </c:pt>
                <c:pt idx="979">
                  <c:v>29.226932999999988</c:v>
                </c:pt>
                <c:pt idx="980">
                  <c:v>29.226932999999988</c:v>
                </c:pt>
                <c:pt idx="981">
                  <c:v>29.226932999999988</c:v>
                </c:pt>
                <c:pt idx="982">
                  <c:v>29.226932999999988</c:v>
                </c:pt>
                <c:pt idx="983">
                  <c:v>29.226932999999988</c:v>
                </c:pt>
                <c:pt idx="984">
                  <c:v>29.226932999999988</c:v>
                </c:pt>
                <c:pt idx="985">
                  <c:v>29.226932999999988</c:v>
                </c:pt>
                <c:pt idx="986">
                  <c:v>29.226932999999988</c:v>
                </c:pt>
                <c:pt idx="987">
                  <c:v>29.226932999999988</c:v>
                </c:pt>
                <c:pt idx="988">
                  <c:v>29.226932999999988</c:v>
                </c:pt>
                <c:pt idx="989">
                  <c:v>29.226932999999988</c:v>
                </c:pt>
                <c:pt idx="990">
                  <c:v>29.226932999999988</c:v>
                </c:pt>
                <c:pt idx="991">
                  <c:v>29.226932999999988</c:v>
                </c:pt>
                <c:pt idx="992">
                  <c:v>29.226932999999988</c:v>
                </c:pt>
                <c:pt idx="993">
                  <c:v>29.226932999999988</c:v>
                </c:pt>
                <c:pt idx="994">
                  <c:v>29.226932999999988</c:v>
                </c:pt>
                <c:pt idx="995">
                  <c:v>29.226932999999988</c:v>
                </c:pt>
                <c:pt idx="996">
                  <c:v>29.226932999999988</c:v>
                </c:pt>
                <c:pt idx="997">
                  <c:v>29.226932999999988</c:v>
                </c:pt>
                <c:pt idx="998">
                  <c:v>29.226932999999988</c:v>
                </c:pt>
                <c:pt idx="999">
                  <c:v>29.226932999999988</c:v>
                </c:pt>
                <c:pt idx="1000">
                  <c:v>29.226932999999988</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35.100000000000186</c:v>
                </c:pt>
                <c:pt idx="500">
                  <c:v>35.200000000000188</c:v>
                </c:pt>
                <c:pt idx="501">
                  <c:v>35.300000000000189</c:v>
                </c:pt>
                <c:pt idx="502">
                  <c:v>35.40000000000019</c:v>
                </c:pt>
                <c:pt idx="503">
                  <c:v>35.500000000000192</c:v>
                </c:pt>
                <c:pt idx="504">
                  <c:v>35.600000000000193</c:v>
                </c:pt>
                <c:pt idx="505">
                  <c:v>35.700000000000195</c:v>
                </c:pt>
                <c:pt idx="506">
                  <c:v>35.800000000000196</c:v>
                </c:pt>
                <c:pt idx="507">
                  <c:v>35.900000000000198</c:v>
                </c:pt>
                <c:pt idx="508">
                  <c:v>36.000000000000199</c:v>
                </c:pt>
                <c:pt idx="509">
                  <c:v>36.1000000000002</c:v>
                </c:pt>
                <c:pt idx="510">
                  <c:v>36.200000000000202</c:v>
                </c:pt>
                <c:pt idx="511">
                  <c:v>36.300000000000203</c:v>
                </c:pt>
                <c:pt idx="512">
                  <c:v>36.400000000000205</c:v>
                </c:pt>
                <c:pt idx="513">
                  <c:v>36.500000000000206</c:v>
                </c:pt>
                <c:pt idx="514">
                  <c:v>36.600000000000207</c:v>
                </c:pt>
                <c:pt idx="515">
                  <c:v>36.700000000000209</c:v>
                </c:pt>
                <c:pt idx="516">
                  <c:v>36.80000000000021</c:v>
                </c:pt>
                <c:pt idx="517">
                  <c:v>36.800100000000214</c:v>
                </c:pt>
                <c:pt idx="518">
                  <c:v>36.800200000000217</c:v>
                </c:pt>
                <c:pt idx="519">
                  <c:v>36.80030000000022</c:v>
                </c:pt>
                <c:pt idx="520">
                  <c:v>36.800400000000224</c:v>
                </c:pt>
                <c:pt idx="521">
                  <c:v>36.800500000000227</c:v>
                </c:pt>
                <c:pt idx="522">
                  <c:v>36.80060000000023</c:v>
                </c:pt>
                <c:pt idx="523">
                  <c:v>36.800700000000234</c:v>
                </c:pt>
                <c:pt idx="524">
                  <c:v>36.800800000000237</c:v>
                </c:pt>
                <c:pt idx="525">
                  <c:v>36.80090000000024</c:v>
                </c:pt>
                <c:pt idx="526">
                  <c:v>36.801000000000244</c:v>
                </c:pt>
                <c:pt idx="527">
                  <c:v>36.801100000000247</c:v>
                </c:pt>
                <c:pt idx="528">
                  <c:v>36.80120000000025</c:v>
                </c:pt>
                <c:pt idx="529">
                  <c:v>36.801300000000253</c:v>
                </c:pt>
                <c:pt idx="530">
                  <c:v>36.801400000000257</c:v>
                </c:pt>
                <c:pt idx="531">
                  <c:v>36.80150000000026</c:v>
                </c:pt>
                <c:pt idx="532">
                  <c:v>36.801600000000263</c:v>
                </c:pt>
                <c:pt idx="533">
                  <c:v>36.801700000000267</c:v>
                </c:pt>
                <c:pt idx="534">
                  <c:v>36.80180000000027</c:v>
                </c:pt>
                <c:pt idx="535">
                  <c:v>36.801900000000273</c:v>
                </c:pt>
                <c:pt idx="536">
                  <c:v>36.802000000000277</c:v>
                </c:pt>
                <c:pt idx="537">
                  <c:v>36.80210000000028</c:v>
                </c:pt>
                <c:pt idx="538">
                  <c:v>36.802200000000283</c:v>
                </c:pt>
                <c:pt idx="539">
                  <c:v>36.802300000000287</c:v>
                </c:pt>
                <c:pt idx="540">
                  <c:v>36.80240000000029</c:v>
                </c:pt>
                <c:pt idx="541">
                  <c:v>36.802500000000293</c:v>
                </c:pt>
                <c:pt idx="542">
                  <c:v>36.802600000000297</c:v>
                </c:pt>
                <c:pt idx="543">
                  <c:v>36.8027000000003</c:v>
                </c:pt>
                <c:pt idx="544">
                  <c:v>36.802800000000303</c:v>
                </c:pt>
                <c:pt idx="545">
                  <c:v>36.802900000000307</c:v>
                </c:pt>
                <c:pt idx="546">
                  <c:v>36.80300000000031</c:v>
                </c:pt>
                <c:pt idx="547">
                  <c:v>36.803100000000313</c:v>
                </c:pt>
                <c:pt idx="548">
                  <c:v>36.803200000000317</c:v>
                </c:pt>
                <c:pt idx="549">
                  <c:v>36.80330000000032</c:v>
                </c:pt>
                <c:pt idx="550">
                  <c:v>36.803400000000323</c:v>
                </c:pt>
                <c:pt idx="551">
                  <c:v>36.803500000000327</c:v>
                </c:pt>
                <c:pt idx="552">
                  <c:v>36.80360000000033</c:v>
                </c:pt>
                <c:pt idx="553">
                  <c:v>36.803700000000333</c:v>
                </c:pt>
                <c:pt idx="554">
                  <c:v>36.803800000000336</c:v>
                </c:pt>
                <c:pt idx="555">
                  <c:v>36.80390000000034</c:v>
                </c:pt>
                <c:pt idx="556">
                  <c:v>36.804000000000343</c:v>
                </c:pt>
                <c:pt idx="557">
                  <c:v>36.804100000000346</c:v>
                </c:pt>
                <c:pt idx="558">
                  <c:v>36.80420000000035</c:v>
                </c:pt>
                <c:pt idx="559">
                  <c:v>36.804300000000353</c:v>
                </c:pt>
                <c:pt idx="560">
                  <c:v>36.804400000000356</c:v>
                </c:pt>
                <c:pt idx="561">
                  <c:v>36.80450000000036</c:v>
                </c:pt>
                <c:pt idx="562">
                  <c:v>36.804600000000363</c:v>
                </c:pt>
                <c:pt idx="563">
                  <c:v>36.804700000000366</c:v>
                </c:pt>
                <c:pt idx="564">
                  <c:v>36.80480000000037</c:v>
                </c:pt>
                <c:pt idx="565">
                  <c:v>36.804900000000373</c:v>
                </c:pt>
                <c:pt idx="566">
                  <c:v>36.805000000000376</c:v>
                </c:pt>
                <c:pt idx="567">
                  <c:v>36.80510000000038</c:v>
                </c:pt>
                <c:pt idx="568">
                  <c:v>36.805200000000383</c:v>
                </c:pt>
                <c:pt idx="569">
                  <c:v>36.805300000000386</c:v>
                </c:pt>
                <c:pt idx="570">
                  <c:v>36.80540000000039</c:v>
                </c:pt>
                <c:pt idx="571">
                  <c:v>36.805500000000393</c:v>
                </c:pt>
                <c:pt idx="572">
                  <c:v>36.805600000000396</c:v>
                </c:pt>
                <c:pt idx="573">
                  <c:v>36.8057000000004</c:v>
                </c:pt>
                <c:pt idx="574">
                  <c:v>36.805800000000403</c:v>
                </c:pt>
                <c:pt idx="575">
                  <c:v>36.805900000000406</c:v>
                </c:pt>
                <c:pt idx="576">
                  <c:v>36.806000000000409</c:v>
                </c:pt>
                <c:pt idx="577">
                  <c:v>36.806100000000413</c:v>
                </c:pt>
                <c:pt idx="578">
                  <c:v>36.806200000000416</c:v>
                </c:pt>
                <c:pt idx="579">
                  <c:v>36.806300000000419</c:v>
                </c:pt>
                <c:pt idx="580">
                  <c:v>36.806400000000423</c:v>
                </c:pt>
                <c:pt idx="581">
                  <c:v>36.806500000000426</c:v>
                </c:pt>
                <c:pt idx="582">
                  <c:v>36.806600000000429</c:v>
                </c:pt>
                <c:pt idx="583">
                  <c:v>36.806700000000433</c:v>
                </c:pt>
                <c:pt idx="584">
                  <c:v>36.806800000000436</c:v>
                </c:pt>
                <c:pt idx="585">
                  <c:v>36.806900000000439</c:v>
                </c:pt>
                <c:pt idx="586">
                  <c:v>36.807000000000443</c:v>
                </c:pt>
                <c:pt idx="587">
                  <c:v>36.807100000000446</c:v>
                </c:pt>
                <c:pt idx="588">
                  <c:v>36.807200000000449</c:v>
                </c:pt>
                <c:pt idx="589">
                  <c:v>36.807300000000453</c:v>
                </c:pt>
                <c:pt idx="590">
                  <c:v>36.807400000000456</c:v>
                </c:pt>
                <c:pt idx="591">
                  <c:v>36.807500000000459</c:v>
                </c:pt>
                <c:pt idx="592">
                  <c:v>36.807600000000463</c:v>
                </c:pt>
                <c:pt idx="593">
                  <c:v>36.807700000000466</c:v>
                </c:pt>
                <c:pt idx="594">
                  <c:v>36.807800000000469</c:v>
                </c:pt>
                <c:pt idx="595">
                  <c:v>36.807900000000473</c:v>
                </c:pt>
                <c:pt idx="596">
                  <c:v>36.808000000000476</c:v>
                </c:pt>
                <c:pt idx="597">
                  <c:v>36.808100000000479</c:v>
                </c:pt>
                <c:pt idx="598">
                  <c:v>36.808200000000483</c:v>
                </c:pt>
                <c:pt idx="599">
                  <c:v>36.808300000000486</c:v>
                </c:pt>
                <c:pt idx="600">
                  <c:v>36.808400000000489</c:v>
                </c:pt>
                <c:pt idx="601">
                  <c:v>36.808500000000492</c:v>
                </c:pt>
                <c:pt idx="602">
                  <c:v>36.808600000000496</c:v>
                </c:pt>
                <c:pt idx="603">
                  <c:v>36.808700000000499</c:v>
                </c:pt>
                <c:pt idx="604">
                  <c:v>36.808800000000502</c:v>
                </c:pt>
                <c:pt idx="605">
                  <c:v>36.808900000000506</c:v>
                </c:pt>
                <c:pt idx="606">
                  <c:v>36.809000000000509</c:v>
                </c:pt>
                <c:pt idx="607">
                  <c:v>36.809100000000512</c:v>
                </c:pt>
                <c:pt idx="608">
                  <c:v>36.809200000000516</c:v>
                </c:pt>
                <c:pt idx="609">
                  <c:v>36.809300000000519</c:v>
                </c:pt>
                <c:pt idx="610">
                  <c:v>36.809400000000522</c:v>
                </c:pt>
                <c:pt idx="611">
                  <c:v>36.809500000000526</c:v>
                </c:pt>
                <c:pt idx="612">
                  <c:v>36.809600000000529</c:v>
                </c:pt>
                <c:pt idx="613">
                  <c:v>36.809700000000532</c:v>
                </c:pt>
                <c:pt idx="614">
                  <c:v>36.809800000000536</c:v>
                </c:pt>
                <c:pt idx="615">
                  <c:v>36.809900000000539</c:v>
                </c:pt>
                <c:pt idx="616">
                  <c:v>36.810000000000542</c:v>
                </c:pt>
                <c:pt idx="617">
                  <c:v>36.810100000000546</c:v>
                </c:pt>
                <c:pt idx="618">
                  <c:v>36.810200000000549</c:v>
                </c:pt>
                <c:pt idx="619">
                  <c:v>36.810300000000552</c:v>
                </c:pt>
                <c:pt idx="620">
                  <c:v>36.810400000000556</c:v>
                </c:pt>
                <c:pt idx="621">
                  <c:v>36.810500000000559</c:v>
                </c:pt>
                <c:pt idx="622">
                  <c:v>36.810600000000562</c:v>
                </c:pt>
                <c:pt idx="623">
                  <c:v>36.810700000000566</c:v>
                </c:pt>
                <c:pt idx="624">
                  <c:v>36.810800000000569</c:v>
                </c:pt>
                <c:pt idx="625">
                  <c:v>36.810900000000572</c:v>
                </c:pt>
                <c:pt idx="626">
                  <c:v>36.811000000000575</c:v>
                </c:pt>
                <c:pt idx="627">
                  <c:v>36.811100000000579</c:v>
                </c:pt>
                <c:pt idx="628">
                  <c:v>36.811200000000582</c:v>
                </c:pt>
                <c:pt idx="629">
                  <c:v>36.811300000000585</c:v>
                </c:pt>
                <c:pt idx="630">
                  <c:v>36.811400000000589</c:v>
                </c:pt>
                <c:pt idx="631">
                  <c:v>36.811500000000592</c:v>
                </c:pt>
                <c:pt idx="632">
                  <c:v>36.811600000000595</c:v>
                </c:pt>
                <c:pt idx="633">
                  <c:v>36.811700000000599</c:v>
                </c:pt>
                <c:pt idx="634">
                  <c:v>36.811800000000602</c:v>
                </c:pt>
                <c:pt idx="635">
                  <c:v>36.811900000000605</c:v>
                </c:pt>
                <c:pt idx="636">
                  <c:v>36.812000000000609</c:v>
                </c:pt>
                <c:pt idx="637">
                  <c:v>36.812100000000612</c:v>
                </c:pt>
                <c:pt idx="638">
                  <c:v>36.812200000000615</c:v>
                </c:pt>
                <c:pt idx="639">
                  <c:v>36.812300000000619</c:v>
                </c:pt>
                <c:pt idx="640">
                  <c:v>36.812400000000622</c:v>
                </c:pt>
                <c:pt idx="641">
                  <c:v>36.812500000000625</c:v>
                </c:pt>
                <c:pt idx="642">
                  <c:v>36.812600000000629</c:v>
                </c:pt>
                <c:pt idx="643">
                  <c:v>36.812700000000632</c:v>
                </c:pt>
                <c:pt idx="644">
                  <c:v>36.812800000000635</c:v>
                </c:pt>
                <c:pt idx="645">
                  <c:v>36.812900000000639</c:v>
                </c:pt>
                <c:pt idx="646">
                  <c:v>36.813000000000642</c:v>
                </c:pt>
                <c:pt idx="647">
                  <c:v>36.813100000000645</c:v>
                </c:pt>
                <c:pt idx="648">
                  <c:v>36.813200000000649</c:v>
                </c:pt>
                <c:pt idx="649">
                  <c:v>36.813300000000652</c:v>
                </c:pt>
                <c:pt idx="650">
                  <c:v>36.813400000000655</c:v>
                </c:pt>
                <c:pt idx="651">
                  <c:v>36.813500000000658</c:v>
                </c:pt>
                <c:pt idx="652">
                  <c:v>36.813600000000662</c:v>
                </c:pt>
                <c:pt idx="653">
                  <c:v>36.813700000000665</c:v>
                </c:pt>
                <c:pt idx="654">
                  <c:v>36.813800000000668</c:v>
                </c:pt>
                <c:pt idx="655">
                  <c:v>36.813900000000672</c:v>
                </c:pt>
                <c:pt idx="656">
                  <c:v>36.814000000000675</c:v>
                </c:pt>
                <c:pt idx="657">
                  <c:v>36.814100000000678</c:v>
                </c:pt>
                <c:pt idx="658">
                  <c:v>36.814200000000682</c:v>
                </c:pt>
                <c:pt idx="659">
                  <c:v>36.814300000000685</c:v>
                </c:pt>
                <c:pt idx="660">
                  <c:v>36.814400000000688</c:v>
                </c:pt>
                <c:pt idx="661">
                  <c:v>36.814500000000692</c:v>
                </c:pt>
                <c:pt idx="662">
                  <c:v>36.814600000000695</c:v>
                </c:pt>
                <c:pt idx="663">
                  <c:v>36.814700000000698</c:v>
                </c:pt>
                <c:pt idx="664">
                  <c:v>36.814800000000702</c:v>
                </c:pt>
                <c:pt idx="665">
                  <c:v>36.814900000000705</c:v>
                </c:pt>
                <c:pt idx="666">
                  <c:v>36.815000000000708</c:v>
                </c:pt>
                <c:pt idx="667">
                  <c:v>36.815100000000712</c:v>
                </c:pt>
                <c:pt idx="668">
                  <c:v>36.815200000000715</c:v>
                </c:pt>
                <c:pt idx="669">
                  <c:v>36.815300000000718</c:v>
                </c:pt>
                <c:pt idx="670">
                  <c:v>36.815400000000722</c:v>
                </c:pt>
                <c:pt idx="671">
                  <c:v>36.815500000000725</c:v>
                </c:pt>
                <c:pt idx="672">
                  <c:v>36.815600000000728</c:v>
                </c:pt>
                <c:pt idx="673">
                  <c:v>36.815700000000732</c:v>
                </c:pt>
                <c:pt idx="674">
                  <c:v>36.815800000000735</c:v>
                </c:pt>
                <c:pt idx="675">
                  <c:v>36.815900000000738</c:v>
                </c:pt>
                <c:pt idx="676">
                  <c:v>36.816000000000741</c:v>
                </c:pt>
                <c:pt idx="677">
                  <c:v>36.816100000000745</c:v>
                </c:pt>
                <c:pt idx="678">
                  <c:v>36.816200000000748</c:v>
                </c:pt>
                <c:pt idx="679">
                  <c:v>36.816300000000751</c:v>
                </c:pt>
                <c:pt idx="680">
                  <c:v>36.816400000000755</c:v>
                </c:pt>
                <c:pt idx="681">
                  <c:v>36.816500000000758</c:v>
                </c:pt>
                <c:pt idx="682">
                  <c:v>36.816600000000761</c:v>
                </c:pt>
                <c:pt idx="683">
                  <c:v>36.816700000000765</c:v>
                </c:pt>
                <c:pt idx="684">
                  <c:v>36.816800000000768</c:v>
                </c:pt>
                <c:pt idx="685">
                  <c:v>36.816900000000771</c:v>
                </c:pt>
                <c:pt idx="686">
                  <c:v>36.817000000000775</c:v>
                </c:pt>
                <c:pt idx="687">
                  <c:v>36.817100000000778</c:v>
                </c:pt>
                <c:pt idx="688">
                  <c:v>36.817200000000781</c:v>
                </c:pt>
                <c:pt idx="689">
                  <c:v>36.817300000000785</c:v>
                </c:pt>
                <c:pt idx="690">
                  <c:v>36.817400000000788</c:v>
                </c:pt>
                <c:pt idx="691">
                  <c:v>36.817500000000791</c:v>
                </c:pt>
                <c:pt idx="692">
                  <c:v>36.817600000000795</c:v>
                </c:pt>
                <c:pt idx="693">
                  <c:v>36.817700000000798</c:v>
                </c:pt>
                <c:pt idx="694">
                  <c:v>36.817800000000801</c:v>
                </c:pt>
                <c:pt idx="695">
                  <c:v>36.817900000000805</c:v>
                </c:pt>
                <c:pt idx="696">
                  <c:v>36.818000000000808</c:v>
                </c:pt>
                <c:pt idx="697">
                  <c:v>36.818100000000811</c:v>
                </c:pt>
                <c:pt idx="698">
                  <c:v>36.818200000000814</c:v>
                </c:pt>
                <c:pt idx="699">
                  <c:v>36.818300000000818</c:v>
                </c:pt>
                <c:pt idx="700">
                  <c:v>36.818400000000821</c:v>
                </c:pt>
                <c:pt idx="701">
                  <c:v>36.818500000000824</c:v>
                </c:pt>
                <c:pt idx="702">
                  <c:v>36.818600000000828</c:v>
                </c:pt>
                <c:pt idx="703">
                  <c:v>36.818700000000831</c:v>
                </c:pt>
                <c:pt idx="704">
                  <c:v>36.818800000000834</c:v>
                </c:pt>
                <c:pt idx="705">
                  <c:v>36.818900000000838</c:v>
                </c:pt>
                <c:pt idx="706">
                  <c:v>36.819000000000841</c:v>
                </c:pt>
                <c:pt idx="707">
                  <c:v>36.819100000000844</c:v>
                </c:pt>
                <c:pt idx="708">
                  <c:v>36.819200000000848</c:v>
                </c:pt>
                <c:pt idx="709">
                  <c:v>36.819300000000851</c:v>
                </c:pt>
                <c:pt idx="710">
                  <c:v>36.819400000000854</c:v>
                </c:pt>
                <c:pt idx="711">
                  <c:v>36.819500000000858</c:v>
                </c:pt>
                <c:pt idx="712">
                  <c:v>36.819600000000861</c:v>
                </c:pt>
                <c:pt idx="713">
                  <c:v>36.819700000000864</c:v>
                </c:pt>
                <c:pt idx="714">
                  <c:v>36.819800000000868</c:v>
                </c:pt>
                <c:pt idx="715">
                  <c:v>36.819900000000871</c:v>
                </c:pt>
                <c:pt idx="716">
                  <c:v>36.820000000000874</c:v>
                </c:pt>
                <c:pt idx="717">
                  <c:v>36.820100000000878</c:v>
                </c:pt>
                <c:pt idx="718">
                  <c:v>36.820200000000881</c:v>
                </c:pt>
                <c:pt idx="719">
                  <c:v>36.820300000000884</c:v>
                </c:pt>
                <c:pt idx="720">
                  <c:v>36.820400000000888</c:v>
                </c:pt>
                <c:pt idx="721">
                  <c:v>36.820500000000891</c:v>
                </c:pt>
                <c:pt idx="722">
                  <c:v>36.820600000000894</c:v>
                </c:pt>
                <c:pt idx="723">
                  <c:v>36.820700000000897</c:v>
                </c:pt>
                <c:pt idx="724">
                  <c:v>36.820800000000901</c:v>
                </c:pt>
                <c:pt idx="725">
                  <c:v>36.820900000000904</c:v>
                </c:pt>
                <c:pt idx="726">
                  <c:v>36.821000000000907</c:v>
                </c:pt>
                <c:pt idx="727">
                  <c:v>36.821100000000911</c:v>
                </c:pt>
                <c:pt idx="728">
                  <c:v>36.821200000000914</c:v>
                </c:pt>
                <c:pt idx="729">
                  <c:v>36.821300000000917</c:v>
                </c:pt>
                <c:pt idx="730">
                  <c:v>36.821400000000921</c:v>
                </c:pt>
                <c:pt idx="731">
                  <c:v>36.821500000000924</c:v>
                </c:pt>
                <c:pt idx="732">
                  <c:v>36.821600000000927</c:v>
                </c:pt>
                <c:pt idx="733">
                  <c:v>36.821700000000931</c:v>
                </c:pt>
                <c:pt idx="734">
                  <c:v>36.821800000000934</c:v>
                </c:pt>
                <c:pt idx="735">
                  <c:v>36.821900000000937</c:v>
                </c:pt>
                <c:pt idx="736">
                  <c:v>36.822000000000941</c:v>
                </c:pt>
                <c:pt idx="737">
                  <c:v>36.822100000000944</c:v>
                </c:pt>
                <c:pt idx="738">
                  <c:v>36.822200000000947</c:v>
                </c:pt>
                <c:pt idx="739">
                  <c:v>36.822300000000951</c:v>
                </c:pt>
                <c:pt idx="740">
                  <c:v>36.822400000000954</c:v>
                </c:pt>
                <c:pt idx="741">
                  <c:v>36.822500000000957</c:v>
                </c:pt>
                <c:pt idx="742">
                  <c:v>36.822600000000961</c:v>
                </c:pt>
                <c:pt idx="743">
                  <c:v>36.822700000000964</c:v>
                </c:pt>
                <c:pt idx="744">
                  <c:v>36.822800000000967</c:v>
                </c:pt>
                <c:pt idx="745">
                  <c:v>36.822900000000971</c:v>
                </c:pt>
                <c:pt idx="746">
                  <c:v>36.823000000000974</c:v>
                </c:pt>
                <c:pt idx="747">
                  <c:v>36.823100000000977</c:v>
                </c:pt>
                <c:pt idx="748">
                  <c:v>36.82320000000098</c:v>
                </c:pt>
                <c:pt idx="749">
                  <c:v>36.823300000000984</c:v>
                </c:pt>
                <c:pt idx="750">
                  <c:v>36.823400000000987</c:v>
                </c:pt>
                <c:pt idx="751">
                  <c:v>36.82350000000099</c:v>
                </c:pt>
                <c:pt idx="752">
                  <c:v>36.823600000000994</c:v>
                </c:pt>
                <c:pt idx="753">
                  <c:v>36.823700000000997</c:v>
                </c:pt>
                <c:pt idx="754">
                  <c:v>36.823800000001</c:v>
                </c:pt>
                <c:pt idx="755">
                  <c:v>36.823900000001004</c:v>
                </c:pt>
                <c:pt idx="756">
                  <c:v>36.824000000001007</c:v>
                </c:pt>
                <c:pt idx="757">
                  <c:v>36.82410000000101</c:v>
                </c:pt>
                <c:pt idx="758">
                  <c:v>36.824200000001014</c:v>
                </c:pt>
                <c:pt idx="759">
                  <c:v>36.824300000001017</c:v>
                </c:pt>
                <c:pt idx="760">
                  <c:v>36.82440000000102</c:v>
                </c:pt>
                <c:pt idx="761">
                  <c:v>36.824500000001024</c:v>
                </c:pt>
                <c:pt idx="762">
                  <c:v>36.824600000001027</c:v>
                </c:pt>
                <c:pt idx="763">
                  <c:v>36.82470000000103</c:v>
                </c:pt>
                <c:pt idx="764">
                  <c:v>36.824800000001034</c:v>
                </c:pt>
                <c:pt idx="765">
                  <c:v>36.824900000001037</c:v>
                </c:pt>
                <c:pt idx="766">
                  <c:v>36.82500000000104</c:v>
                </c:pt>
                <c:pt idx="767">
                  <c:v>36.825100000001044</c:v>
                </c:pt>
                <c:pt idx="768">
                  <c:v>36.825200000001047</c:v>
                </c:pt>
                <c:pt idx="769">
                  <c:v>36.82530000000105</c:v>
                </c:pt>
                <c:pt idx="770">
                  <c:v>36.825400000001054</c:v>
                </c:pt>
                <c:pt idx="771">
                  <c:v>36.825500000001057</c:v>
                </c:pt>
                <c:pt idx="772">
                  <c:v>36.82560000000106</c:v>
                </c:pt>
                <c:pt idx="773">
                  <c:v>36.825700000001063</c:v>
                </c:pt>
                <c:pt idx="774">
                  <c:v>36.825800000001067</c:v>
                </c:pt>
                <c:pt idx="775">
                  <c:v>36.82590000000107</c:v>
                </c:pt>
                <c:pt idx="776">
                  <c:v>36.826000000001073</c:v>
                </c:pt>
                <c:pt idx="777">
                  <c:v>36.826100000001077</c:v>
                </c:pt>
                <c:pt idx="778">
                  <c:v>36.82620000000108</c:v>
                </c:pt>
                <c:pt idx="779">
                  <c:v>36.826300000001083</c:v>
                </c:pt>
                <c:pt idx="780">
                  <c:v>36.826400000001087</c:v>
                </c:pt>
                <c:pt idx="781">
                  <c:v>36.82650000000109</c:v>
                </c:pt>
                <c:pt idx="782">
                  <c:v>36.826600000001093</c:v>
                </c:pt>
                <c:pt idx="783">
                  <c:v>36.826700000001097</c:v>
                </c:pt>
                <c:pt idx="784">
                  <c:v>36.8268000000011</c:v>
                </c:pt>
                <c:pt idx="785">
                  <c:v>36.826900000001103</c:v>
                </c:pt>
                <c:pt idx="786">
                  <c:v>36.827000000001107</c:v>
                </c:pt>
                <c:pt idx="787">
                  <c:v>36.82710000000111</c:v>
                </c:pt>
                <c:pt idx="788">
                  <c:v>36.827200000001113</c:v>
                </c:pt>
                <c:pt idx="789">
                  <c:v>36.827300000001117</c:v>
                </c:pt>
                <c:pt idx="790">
                  <c:v>36.82740000000112</c:v>
                </c:pt>
                <c:pt idx="791">
                  <c:v>36.827500000001123</c:v>
                </c:pt>
                <c:pt idx="792">
                  <c:v>36.827600000001127</c:v>
                </c:pt>
                <c:pt idx="793">
                  <c:v>36.82770000000113</c:v>
                </c:pt>
                <c:pt idx="794">
                  <c:v>36.827800000001133</c:v>
                </c:pt>
                <c:pt idx="795">
                  <c:v>36.827900000001137</c:v>
                </c:pt>
                <c:pt idx="796">
                  <c:v>36.82800000000114</c:v>
                </c:pt>
                <c:pt idx="797">
                  <c:v>36.828100000001143</c:v>
                </c:pt>
                <c:pt idx="798">
                  <c:v>36.828200000001146</c:v>
                </c:pt>
                <c:pt idx="799">
                  <c:v>36.82830000000115</c:v>
                </c:pt>
                <c:pt idx="800">
                  <c:v>36.828400000001153</c:v>
                </c:pt>
                <c:pt idx="801">
                  <c:v>36.828500000001156</c:v>
                </c:pt>
                <c:pt idx="802">
                  <c:v>36.82860000000116</c:v>
                </c:pt>
                <c:pt idx="803">
                  <c:v>36.828700000001163</c:v>
                </c:pt>
                <c:pt idx="804">
                  <c:v>36.828800000001166</c:v>
                </c:pt>
                <c:pt idx="805">
                  <c:v>36.82890000000117</c:v>
                </c:pt>
                <c:pt idx="806">
                  <c:v>36.829000000001173</c:v>
                </c:pt>
                <c:pt idx="807">
                  <c:v>36.829100000001176</c:v>
                </c:pt>
                <c:pt idx="808">
                  <c:v>36.82920000000118</c:v>
                </c:pt>
                <c:pt idx="809">
                  <c:v>36.829300000001183</c:v>
                </c:pt>
                <c:pt idx="810">
                  <c:v>36.829400000001186</c:v>
                </c:pt>
                <c:pt idx="811">
                  <c:v>36.82950000000119</c:v>
                </c:pt>
                <c:pt idx="812">
                  <c:v>36.829600000001193</c:v>
                </c:pt>
                <c:pt idx="813">
                  <c:v>36.829700000001196</c:v>
                </c:pt>
                <c:pt idx="814">
                  <c:v>36.8298000000012</c:v>
                </c:pt>
                <c:pt idx="815">
                  <c:v>36.829900000001203</c:v>
                </c:pt>
                <c:pt idx="816">
                  <c:v>36.830000000001206</c:v>
                </c:pt>
                <c:pt idx="817">
                  <c:v>36.83010000000121</c:v>
                </c:pt>
                <c:pt idx="818">
                  <c:v>36.830200000001213</c:v>
                </c:pt>
                <c:pt idx="819">
                  <c:v>36.830300000001216</c:v>
                </c:pt>
                <c:pt idx="820">
                  <c:v>36.830400000001219</c:v>
                </c:pt>
                <c:pt idx="821">
                  <c:v>36.830500000001223</c:v>
                </c:pt>
                <c:pt idx="822">
                  <c:v>36.830600000001226</c:v>
                </c:pt>
                <c:pt idx="823">
                  <c:v>36.830700000001229</c:v>
                </c:pt>
                <c:pt idx="824">
                  <c:v>36.830800000001233</c:v>
                </c:pt>
                <c:pt idx="825">
                  <c:v>36.830900000001236</c:v>
                </c:pt>
                <c:pt idx="826">
                  <c:v>36.831000000001239</c:v>
                </c:pt>
                <c:pt idx="827">
                  <c:v>36.831100000001243</c:v>
                </c:pt>
                <c:pt idx="828">
                  <c:v>36.831200000001246</c:v>
                </c:pt>
                <c:pt idx="829">
                  <c:v>36.831300000001249</c:v>
                </c:pt>
                <c:pt idx="830">
                  <c:v>36.831400000001253</c:v>
                </c:pt>
                <c:pt idx="831">
                  <c:v>36.831500000001256</c:v>
                </c:pt>
                <c:pt idx="832">
                  <c:v>36.831600000001259</c:v>
                </c:pt>
                <c:pt idx="833">
                  <c:v>36.831700000001263</c:v>
                </c:pt>
                <c:pt idx="834">
                  <c:v>36.831800000001266</c:v>
                </c:pt>
                <c:pt idx="835">
                  <c:v>36.831900000001269</c:v>
                </c:pt>
                <c:pt idx="836">
                  <c:v>36.832000000001273</c:v>
                </c:pt>
                <c:pt idx="837">
                  <c:v>36.832100000001276</c:v>
                </c:pt>
                <c:pt idx="838">
                  <c:v>36.832200000001279</c:v>
                </c:pt>
                <c:pt idx="839">
                  <c:v>36.832300000001283</c:v>
                </c:pt>
                <c:pt idx="840">
                  <c:v>36.832400000001286</c:v>
                </c:pt>
                <c:pt idx="841">
                  <c:v>36.832500000001289</c:v>
                </c:pt>
                <c:pt idx="842">
                  <c:v>36.832600000001293</c:v>
                </c:pt>
                <c:pt idx="843">
                  <c:v>36.832700000001296</c:v>
                </c:pt>
                <c:pt idx="844">
                  <c:v>36.832800000001299</c:v>
                </c:pt>
                <c:pt idx="845">
                  <c:v>36.832900000001302</c:v>
                </c:pt>
                <c:pt idx="846">
                  <c:v>36.833000000001306</c:v>
                </c:pt>
                <c:pt idx="847">
                  <c:v>36.833100000001309</c:v>
                </c:pt>
                <c:pt idx="848">
                  <c:v>36.833200000001312</c:v>
                </c:pt>
                <c:pt idx="849">
                  <c:v>36.833300000001316</c:v>
                </c:pt>
                <c:pt idx="850">
                  <c:v>36.833400000001319</c:v>
                </c:pt>
                <c:pt idx="851">
                  <c:v>36.833500000001322</c:v>
                </c:pt>
                <c:pt idx="852">
                  <c:v>36.833600000001326</c:v>
                </c:pt>
                <c:pt idx="853">
                  <c:v>36.833700000001329</c:v>
                </c:pt>
                <c:pt idx="854">
                  <c:v>36.833800000001332</c:v>
                </c:pt>
                <c:pt idx="855">
                  <c:v>36.833900000001336</c:v>
                </c:pt>
                <c:pt idx="856">
                  <c:v>36.834000000001339</c:v>
                </c:pt>
                <c:pt idx="857">
                  <c:v>36.834100000001342</c:v>
                </c:pt>
                <c:pt idx="858">
                  <c:v>36.834200000001346</c:v>
                </c:pt>
                <c:pt idx="859">
                  <c:v>36.834300000001349</c:v>
                </c:pt>
                <c:pt idx="860">
                  <c:v>36.834400000001352</c:v>
                </c:pt>
                <c:pt idx="861">
                  <c:v>36.834500000001356</c:v>
                </c:pt>
                <c:pt idx="862">
                  <c:v>36.834600000001359</c:v>
                </c:pt>
                <c:pt idx="863">
                  <c:v>36.834700000001362</c:v>
                </c:pt>
                <c:pt idx="864">
                  <c:v>36.834800000001366</c:v>
                </c:pt>
                <c:pt idx="865">
                  <c:v>36.834900000001369</c:v>
                </c:pt>
                <c:pt idx="866">
                  <c:v>36.835000000001372</c:v>
                </c:pt>
                <c:pt idx="867">
                  <c:v>36.835100000001376</c:v>
                </c:pt>
                <c:pt idx="868">
                  <c:v>36.835200000001379</c:v>
                </c:pt>
                <c:pt idx="869">
                  <c:v>36.835300000001382</c:v>
                </c:pt>
                <c:pt idx="870">
                  <c:v>36.835400000001385</c:v>
                </c:pt>
                <c:pt idx="871">
                  <c:v>36.835500000001389</c:v>
                </c:pt>
                <c:pt idx="872">
                  <c:v>36.835600000001392</c:v>
                </c:pt>
                <c:pt idx="873">
                  <c:v>36.835700000001395</c:v>
                </c:pt>
                <c:pt idx="874">
                  <c:v>36.835800000001399</c:v>
                </c:pt>
                <c:pt idx="875">
                  <c:v>36.835900000001402</c:v>
                </c:pt>
                <c:pt idx="876">
                  <c:v>36.836000000001405</c:v>
                </c:pt>
                <c:pt idx="877">
                  <c:v>36.836100000001409</c:v>
                </c:pt>
                <c:pt idx="878">
                  <c:v>36.836200000001412</c:v>
                </c:pt>
                <c:pt idx="879">
                  <c:v>36.836300000001415</c:v>
                </c:pt>
                <c:pt idx="880">
                  <c:v>36.836400000001419</c:v>
                </c:pt>
                <c:pt idx="881">
                  <c:v>36.836500000001422</c:v>
                </c:pt>
                <c:pt idx="882">
                  <c:v>36.836600000001425</c:v>
                </c:pt>
                <c:pt idx="883">
                  <c:v>36.836700000001429</c:v>
                </c:pt>
                <c:pt idx="884">
                  <c:v>36.836800000001432</c:v>
                </c:pt>
                <c:pt idx="885">
                  <c:v>36.836900000001435</c:v>
                </c:pt>
                <c:pt idx="886">
                  <c:v>36.837000000001439</c:v>
                </c:pt>
                <c:pt idx="887">
                  <c:v>36.837100000001442</c:v>
                </c:pt>
                <c:pt idx="888">
                  <c:v>36.837200000001445</c:v>
                </c:pt>
                <c:pt idx="889">
                  <c:v>36.837300000001449</c:v>
                </c:pt>
                <c:pt idx="890">
                  <c:v>36.837400000001452</c:v>
                </c:pt>
                <c:pt idx="891">
                  <c:v>36.837500000001455</c:v>
                </c:pt>
                <c:pt idx="892">
                  <c:v>36.837600000001459</c:v>
                </c:pt>
                <c:pt idx="893">
                  <c:v>36.837700000001462</c:v>
                </c:pt>
                <c:pt idx="894">
                  <c:v>36.837800000001465</c:v>
                </c:pt>
                <c:pt idx="895">
                  <c:v>36.837900000001468</c:v>
                </c:pt>
                <c:pt idx="896">
                  <c:v>36.838000000001472</c:v>
                </c:pt>
                <c:pt idx="897">
                  <c:v>36.838100000001475</c:v>
                </c:pt>
                <c:pt idx="898">
                  <c:v>36.838200000001478</c:v>
                </c:pt>
                <c:pt idx="899">
                  <c:v>36.838300000001482</c:v>
                </c:pt>
                <c:pt idx="900">
                  <c:v>36.838400000001485</c:v>
                </c:pt>
                <c:pt idx="901">
                  <c:v>36.838500000001488</c:v>
                </c:pt>
                <c:pt idx="902">
                  <c:v>36.838600000001492</c:v>
                </c:pt>
                <c:pt idx="903">
                  <c:v>36.838700000001495</c:v>
                </c:pt>
                <c:pt idx="904">
                  <c:v>36.838800000001498</c:v>
                </c:pt>
                <c:pt idx="905">
                  <c:v>36.838900000001502</c:v>
                </c:pt>
                <c:pt idx="906">
                  <c:v>36.839000000001505</c:v>
                </c:pt>
                <c:pt idx="907">
                  <c:v>36.839100000001508</c:v>
                </c:pt>
                <c:pt idx="908">
                  <c:v>36.839200000001512</c:v>
                </c:pt>
                <c:pt idx="909">
                  <c:v>36.839300000001515</c:v>
                </c:pt>
                <c:pt idx="910">
                  <c:v>36.839400000001518</c:v>
                </c:pt>
                <c:pt idx="911">
                  <c:v>36.839500000001522</c:v>
                </c:pt>
                <c:pt idx="912">
                  <c:v>36.839600000001525</c:v>
                </c:pt>
                <c:pt idx="913">
                  <c:v>36.839700000001528</c:v>
                </c:pt>
                <c:pt idx="914">
                  <c:v>36.839800000001532</c:v>
                </c:pt>
                <c:pt idx="915">
                  <c:v>36.839900000001535</c:v>
                </c:pt>
                <c:pt idx="916">
                  <c:v>36.840000000001538</c:v>
                </c:pt>
                <c:pt idx="917">
                  <c:v>36.840100000001542</c:v>
                </c:pt>
                <c:pt idx="918">
                  <c:v>36.840200000001545</c:v>
                </c:pt>
                <c:pt idx="919">
                  <c:v>36.840300000001548</c:v>
                </c:pt>
                <c:pt idx="920">
                  <c:v>36.840400000001551</c:v>
                </c:pt>
                <c:pt idx="921">
                  <c:v>36.840500000001555</c:v>
                </c:pt>
                <c:pt idx="922">
                  <c:v>36.840600000001558</c:v>
                </c:pt>
                <c:pt idx="923">
                  <c:v>36.840700000001561</c:v>
                </c:pt>
                <c:pt idx="924">
                  <c:v>36.840800000001565</c:v>
                </c:pt>
                <c:pt idx="925">
                  <c:v>36.840900000001568</c:v>
                </c:pt>
                <c:pt idx="926">
                  <c:v>36.841000000001571</c:v>
                </c:pt>
                <c:pt idx="927">
                  <c:v>36.841100000001575</c:v>
                </c:pt>
                <c:pt idx="928">
                  <c:v>36.841200000001578</c:v>
                </c:pt>
                <c:pt idx="929">
                  <c:v>36.841300000001581</c:v>
                </c:pt>
                <c:pt idx="930">
                  <c:v>36.841400000001585</c:v>
                </c:pt>
                <c:pt idx="931">
                  <c:v>36.841500000001588</c:v>
                </c:pt>
                <c:pt idx="932">
                  <c:v>36.841600000001591</c:v>
                </c:pt>
                <c:pt idx="933">
                  <c:v>36.841700000001595</c:v>
                </c:pt>
                <c:pt idx="934">
                  <c:v>36.841800000001598</c:v>
                </c:pt>
                <c:pt idx="935">
                  <c:v>36.841900000001601</c:v>
                </c:pt>
                <c:pt idx="936">
                  <c:v>36.842000000001605</c:v>
                </c:pt>
                <c:pt idx="937">
                  <c:v>36.842100000001608</c:v>
                </c:pt>
                <c:pt idx="938">
                  <c:v>36.842200000001611</c:v>
                </c:pt>
                <c:pt idx="939">
                  <c:v>36.842300000001615</c:v>
                </c:pt>
                <c:pt idx="940">
                  <c:v>36.842400000001618</c:v>
                </c:pt>
                <c:pt idx="941">
                  <c:v>36.842500000001621</c:v>
                </c:pt>
                <c:pt idx="942">
                  <c:v>36.842600000001624</c:v>
                </c:pt>
                <c:pt idx="943">
                  <c:v>36.842700000001628</c:v>
                </c:pt>
                <c:pt idx="944">
                  <c:v>36.842800000001631</c:v>
                </c:pt>
                <c:pt idx="945">
                  <c:v>36.842900000001634</c:v>
                </c:pt>
                <c:pt idx="946">
                  <c:v>36.843000000001638</c:v>
                </c:pt>
                <c:pt idx="947">
                  <c:v>36.843100000001641</c:v>
                </c:pt>
                <c:pt idx="948">
                  <c:v>36.843200000001644</c:v>
                </c:pt>
                <c:pt idx="949">
                  <c:v>36.843300000001648</c:v>
                </c:pt>
                <c:pt idx="950">
                  <c:v>36.843400000001651</c:v>
                </c:pt>
                <c:pt idx="951">
                  <c:v>36.843500000001654</c:v>
                </c:pt>
                <c:pt idx="952">
                  <c:v>36.843600000001658</c:v>
                </c:pt>
                <c:pt idx="953">
                  <c:v>36.843700000001661</c:v>
                </c:pt>
                <c:pt idx="954">
                  <c:v>36.843800000001664</c:v>
                </c:pt>
                <c:pt idx="955">
                  <c:v>36.843900000001668</c:v>
                </c:pt>
                <c:pt idx="956">
                  <c:v>36.844000000001671</c:v>
                </c:pt>
                <c:pt idx="957">
                  <c:v>36.844100000001674</c:v>
                </c:pt>
                <c:pt idx="958">
                  <c:v>36.844200000001678</c:v>
                </c:pt>
                <c:pt idx="959">
                  <c:v>36.844300000001681</c:v>
                </c:pt>
                <c:pt idx="960">
                  <c:v>36.844400000001684</c:v>
                </c:pt>
                <c:pt idx="961">
                  <c:v>36.844500000001688</c:v>
                </c:pt>
                <c:pt idx="962">
                  <c:v>36.844600000001691</c:v>
                </c:pt>
                <c:pt idx="963">
                  <c:v>36.844700000001694</c:v>
                </c:pt>
                <c:pt idx="964">
                  <c:v>36.844800000001698</c:v>
                </c:pt>
                <c:pt idx="965">
                  <c:v>36.844900000001701</c:v>
                </c:pt>
                <c:pt idx="966">
                  <c:v>36.845000000001704</c:v>
                </c:pt>
                <c:pt idx="967">
                  <c:v>36.845100000001707</c:v>
                </c:pt>
                <c:pt idx="968">
                  <c:v>36.845200000001711</c:v>
                </c:pt>
                <c:pt idx="969">
                  <c:v>36.845300000001714</c:v>
                </c:pt>
                <c:pt idx="970">
                  <c:v>36.845400000001717</c:v>
                </c:pt>
                <c:pt idx="971">
                  <c:v>36.845500000001721</c:v>
                </c:pt>
                <c:pt idx="972">
                  <c:v>36.845600000001724</c:v>
                </c:pt>
                <c:pt idx="973">
                  <c:v>36.845700000001727</c:v>
                </c:pt>
                <c:pt idx="974">
                  <c:v>36.845800000001731</c:v>
                </c:pt>
                <c:pt idx="975">
                  <c:v>36.845900000001734</c:v>
                </c:pt>
                <c:pt idx="976">
                  <c:v>36.846000000001737</c:v>
                </c:pt>
                <c:pt idx="977">
                  <c:v>36.846100000001741</c:v>
                </c:pt>
                <c:pt idx="978">
                  <c:v>36.846200000001744</c:v>
                </c:pt>
                <c:pt idx="979">
                  <c:v>36.846300000001747</c:v>
                </c:pt>
                <c:pt idx="980">
                  <c:v>36.846400000001751</c:v>
                </c:pt>
                <c:pt idx="981">
                  <c:v>36.846500000001754</c:v>
                </c:pt>
                <c:pt idx="982">
                  <c:v>36.846600000001757</c:v>
                </c:pt>
                <c:pt idx="983">
                  <c:v>36.846700000001761</c:v>
                </c:pt>
                <c:pt idx="984">
                  <c:v>36.846800000001764</c:v>
                </c:pt>
                <c:pt idx="985">
                  <c:v>36.846900000001767</c:v>
                </c:pt>
                <c:pt idx="986">
                  <c:v>36.847000000001771</c:v>
                </c:pt>
                <c:pt idx="987">
                  <c:v>36.847100000001774</c:v>
                </c:pt>
                <c:pt idx="988">
                  <c:v>36.847200000001777</c:v>
                </c:pt>
                <c:pt idx="989">
                  <c:v>36.847300000001781</c:v>
                </c:pt>
                <c:pt idx="990">
                  <c:v>36.847400000001784</c:v>
                </c:pt>
                <c:pt idx="991">
                  <c:v>36.847500000001787</c:v>
                </c:pt>
                <c:pt idx="992">
                  <c:v>36.84760000000179</c:v>
                </c:pt>
                <c:pt idx="993">
                  <c:v>36.847700000001794</c:v>
                </c:pt>
                <c:pt idx="994">
                  <c:v>36.847800000001797</c:v>
                </c:pt>
                <c:pt idx="995">
                  <c:v>36.8479000000018</c:v>
                </c:pt>
                <c:pt idx="996">
                  <c:v>36.848000000001804</c:v>
                </c:pt>
                <c:pt idx="997">
                  <c:v>36.848100000001807</c:v>
                </c:pt>
                <c:pt idx="998">
                  <c:v>36.84820000000181</c:v>
                </c:pt>
                <c:pt idx="999">
                  <c:v>36.848300000001814</c:v>
                </c:pt>
                <c:pt idx="1000">
                  <c:v>36.848400000001817</c:v>
                </c:pt>
              </c:numCache>
            </c:numRef>
          </c:xVal>
          <c:yVal>
            <c:numRef>
              <c:f>Calculs!$W$4:$W$1004</c:f>
              <c:numCache>
                <c:formatCode>0.00</c:formatCode>
                <c:ptCount val="1001"/>
                <c:pt idx="0">
                  <c:v>74.531380034578646</c:v>
                </c:pt>
                <c:pt idx="1">
                  <c:v>74.404470387485489</c:v>
                </c:pt>
                <c:pt idx="2">
                  <c:v>74.623087703824282</c:v>
                </c:pt>
                <c:pt idx="3">
                  <c:v>74.986912681375031</c:v>
                </c:pt>
                <c:pt idx="4">
                  <c:v>75.295127568870555</c:v>
                </c:pt>
                <c:pt idx="5">
                  <c:v>75.574144087431009</c:v>
                </c:pt>
                <c:pt idx="6">
                  <c:v>75.850556570122322</c:v>
                </c:pt>
                <c:pt idx="7">
                  <c:v>76.124353384420431</c:v>
                </c:pt>
                <c:pt idx="8">
                  <c:v>76.395523183175811</c:v>
                </c:pt>
                <c:pt idx="9">
                  <c:v>76.66405490311341</c:v>
                </c:pt>
                <c:pt idx="10">
                  <c:v>76.929937763312125</c:v>
                </c:pt>
                <c:pt idx="11">
                  <c:v>77.193161263663754</c:v>
                </c:pt>
                <c:pt idx="12">
                  <c:v>77.453715183312312</c:v>
                </c:pt>
                <c:pt idx="13">
                  <c:v>77.711589579074172</c:v>
                </c:pt>
                <c:pt idx="14">
                  <c:v>77.966774783839568</c:v>
                </c:pt>
                <c:pt idx="15">
                  <c:v>78.219261404955731</c:v>
                </c:pt>
                <c:pt idx="16">
                  <c:v>78.469040322592932</c:v>
                </c:pt>
                <c:pt idx="17">
                  <c:v>78.716102688093045</c:v>
                </c:pt>
                <c:pt idx="18">
                  <c:v>78.960439922301802</c:v>
                </c:pt>
                <c:pt idx="19">
                  <c:v>79.202043713885203</c:v>
                </c:pt>
                <c:pt idx="20">
                  <c:v>79.440906017630141</c:v>
                </c:pt>
                <c:pt idx="21">
                  <c:v>79.677019052730415</c:v>
                </c:pt>
                <c:pt idx="22">
                  <c:v>79.910375301058096</c:v>
                </c:pt>
                <c:pt idx="23">
                  <c:v>80.140967505421273</c:v>
                </c:pt>
                <c:pt idx="24">
                  <c:v>80.368788667807749</c:v>
                </c:pt>
                <c:pt idx="25">
                  <c:v>80.593832047616942</c:v>
                </c:pt>
                <c:pt idx="26">
                  <c:v>80.816091159878184</c:v>
                </c:pt>
                <c:pt idx="27">
                  <c:v>81.035559773457976</c:v>
                </c:pt>
                <c:pt idx="28">
                  <c:v>81.2522319092554</c:v>
                </c:pt>
                <c:pt idx="29">
                  <c:v>81.466101838386678</c:v>
                </c:pt>
                <c:pt idx="30">
                  <c:v>81.677164080359447</c:v>
                </c:pt>
                <c:pt idx="31">
                  <c:v>81.885413401236676</c:v>
                </c:pt>
                <c:pt idx="32">
                  <c:v>82.090844811791527</c:v>
                </c:pt>
                <c:pt idx="33">
                  <c:v>82.293453565652896</c:v>
                </c:pt>
                <c:pt idx="34">
                  <c:v>82.493235157442314</c:v>
                </c:pt>
                <c:pt idx="35">
                  <c:v>82.690185320902941</c:v>
                </c:pt>
                <c:pt idx="36">
                  <c:v>82.884300027020714</c:v>
                </c:pt>
                <c:pt idx="37">
                  <c:v>83.075575482138163</c:v>
                </c:pt>
                <c:pt idx="38">
                  <c:v>83.264008126061952</c:v>
                </c:pt>
                <c:pt idx="39">
                  <c:v>83.449594630163261</c:v>
                </c:pt>
                <c:pt idx="40">
                  <c:v>83.632331895472774</c:v>
                </c:pt>
                <c:pt idx="41">
                  <c:v>83.812217050770229</c:v>
                </c:pt>
                <c:pt idx="42">
                  <c:v>83.989247450668458</c:v>
                </c:pt>
                <c:pt idx="43">
                  <c:v>84.163420673692954</c:v>
                </c:pt>
                <c:pt idx="44">
                  <c:v>84.334734520357486</c:v>
                </c:pt>
                <c:pt idx="45">
                  <c:v>84.503187011235269</c:v>
                </c:pt>
                <c:pt idx="46">
                  <c:v>84.668776385027016</c:v>
                </c:pt>
                <c:pt idx="47">
                  <c:v>84.831501096626042</c:v>
                </c:pt>
                <c:pt idx="48">
                  <c:v>84.99135981518009</c:v>
                </c:pt>
                <c:pt idx="49">
                  <c:v>85.148351422151833</c:v>
                </c:pt>
                <c:pt idx="50">
                  <c:v>85.302475009376465</c:v>
                </c:pt>
                <c:pt idx="51">
                  <c:v>85.453729877118235</c:v>
                </c:pt>
                <c:pt idx="52">
                  <c:v>85.60211553212585</c:v>
                </c:pt>
                <c:pt idx="53">
                  <c:v>85.747631685686684</c:v>
                </c:pt>
                <c:pt idx="54">
                  <c:v>85.890278251680897</c:v>
                </c:pt>
                <c:pt idx="55">
                  <c:v>86.030055344635301</c:v>
                </c:pt>
                <c:pt idx="56">
                  <c:v>86.166963277777143</c:v>
                </c:pt>
                <c:pt idx="57">
                  <c:v>86.30100256108912</c:v>
                </c:pt>
                <c:pt idx="58">
                  <c:v>86.4321738993645</c:v>
                </c:pt>
                <c:pt idx="59">
                  <c:v>86.56047819026405</c:v>
                </c:pt>
                <c:pt idx="60">
                  <c:v>86.685916522374086</c:v>
                </c:pt>
                <c:pt idx="61">
                  <c:v>86.808490173267018</c:v>
                </c:pt>
                <c:pt idx="62">
                  <c:v>86.928200607563014</c:v>
                </c:pt>
                <c:pt idx="63">
                  <c:v>87.042569352221321</c:v>
                </c:pt>
                <c:pt idx="64">
                  <c:v>87.149118150349096</c:v>
                </c:pt>
                <c:pt idx="65">
                  <c:v>87.247853912403187</c:v>
                </c:pt>
                <c:pt idx="66">
                  <c:v>87.338784760530899</c:v>
                </c:pt>
                <c:pt idx="67">
                  <c:v>87.419642271045007</c:v>
                </c:pt>
                <c:pt idx="68">
                  <c:v>87.488161494437421</c:v>
                </c:pt>
                <c:pt idx="69">
                  <c:v>87.540309240834858</c:v>
                </c:pt>
                <c:pt idx="70">
                  <c:v>87.57206281235257</c:v>
                </c:pt>
                <c:pt idx="71">
                  <c:v>87.583469884789309</c:v>
                </c:pt>
                <c:pt idx="72">
                  <c:v>87.574585846458874</c:v>
                </c:pt>
                <c:pt idx="73">
                  <c:v>87.545473700342555</c:v>
                </c:pt>
                <c:pt idx="74">
                  <c:v>87.496203965707195</c:v>
                </c:pt>
                <c:pt idx="75">
                  <c:v>87.426854579272771</c:v>
                </c:pt>
                <c:pt idx="76">
                  <c:v>87.337510796010847</c:v>
                </c:pt>
                <c:pt idx="77">
                  <c:v>87.228265089654627</c:v>
                </c:pt>
                <c:pt idx="78">
                  <c:v>87.099217052998725</c:v>
                </c:pt>
                <c:pt idx="79">
                  <c:v>86.950473298065063</c:v>
                </c:pt>
                <c:pt idx="80">
                  <c:v>86.782147356211041</c:v>
                </c:pt>
                <c:pt idx="81">
                  <c:v>86.599150522753575</c:v>
                </c:pt>
                <c:pt idx="82">
                  <c:v>86.406362944686208</c:v>
                </c:pt>
                <c:pt idx="83">
                  <c:v>86.203849871883435</c:v>
                </c:pt>
                <c:pt idx="84">
                  <c:v>85.991678101537175</c:v>
                </c:pt>
                <c:pt idx="85">
                  <c:v>85.769915953793827</c:v>
                </c:pt>
                <c:pt idx="86">
                  <c:v>85.538633247603741</c:v>
                </c:pt>
                <c:pt idx="87">
                  <c:v>85.29790127678902</c:v>
                </c:pt>
                <c:pt idx="88">
                  <c:v>85.047792786334767</c:v>
                </c:pt>
                <c:pt idx="89">
                  <c:v>84.789878773194118</c:v>
                </c:pt>
                <c:pt idx="90">
                  <c:v>84.525717125860496</c:v>
                </c:pt>
                <c:pt idx="91">
                  <c:v>84.255359993601431</c:v>
                </c:pt>
                <c:pt idx="92">
                  <c:v>83.978860087761873</c:v>
                </c:pt>
                <c:pt idx="93">
                  <c:v>83.696642386212218</c:v>
                </c:pt>
                <c:pt idx="94">
                  <c:v>83.409128568573706</c:v>
                </c:pt>
                <c:pt idx="95">
                  <c:v>83.11636650478907</c:v>
                </c:pt>
                <c:pt idx="96">
                  <c:v>82.818404447410884</c:v>
                </c:pt>
                <c:pt idx="97">
                  <c:v>82.516766980040529</c:v>
                </c:pt>
                <c:pt idx="98">
                  <c:v>82.212962977313083</c:v>
                </c:pt>
                <c:pt idx="99">
                  <c:v>81.907015059248778</c:v>
                </c:pt>
                <c:pt idx="100">
                  <c:v>81.598945868440097</c:v>
                </c:pt>
                <c:pt idx="101">
                  <c:v>81.28877806917113</c:v>
                </c:pt>
                <c:pt idx="102">
                  <c:v>80.976534346560172</c:v>
                </c:pt>
                <c:pt idx="103">
                  <c:v>80.662237405724994</c:v>
                </c:pt>
                <c:pt idx="104">
                  <c:v>80.345909970970226</c:v>
                </c:pt>
                <c:pt idx="105">
                  <c:v>80.027574784997185</c:v>
                </c:pt>
                <c:pt idx="106">
                  <c:v>79.70725460813604</c:v>
                </c:pt>
                <c:pt idx="107">
                  <c:v>79.384972217599568</c:v>
                </c:pt>
                <c:pt idx="108">
                  <c:v>79.060750406759212</c:v>
                </c:pt>
                <c:pt idx="109">
                  <c:v>78.736412422557422</c:v>
                </c:pt>
                <c:pt idx="110">
                  <c:v>78.413760386742553</c:v>
                </c:pt>
                <c:pt idx="111">
                  <c:v>78.092782672142746</c:v>
                </c:pt>
                <c:pt idx="112">
                  <c:v>77.773467752439089</c:v>
                </c:pt>
                <c:pt idx="113">
                  <c:v>77.455804201114603</c:v>
                </c:pt>
                <c:pt idx="114">
                  <c:v>77.139780690416075</c:v>
                </c:pt>
                <c:pt idx="115">
                  <c:v>76.82538599032867</c:v>
                </c:pt>
                <c:pt idx="116">
                  <c:v>76.512608967562855</c:v>
                </c:pt>
                <c:pt idx="117">
                  <c:v>76.201438584553415</c:v>
                </c:pt>
                <c:pt idx="118">
                  <c:v>75.89186389847103</c:v>
                </c:pt>
                <c:pt idx="119">
                  <c:v>75.58387406024525</c:v>
                </c:pt>
                <c:pt idx="120">
                  <c:v>75.277458313599439</c:v>
                </c:pt>
                <c:pt idx="121">
                  <c:v>74.972605994097606</c:v>
                </c:pt>
                <c:pt idx="122">
                  <c:v>74.669306528202057</c:v>
                </c:pt>
                <c:pt idx="123">
                  <c:v>74.367549432342997</c:v>
                </c:pt>
                <c:pt idx="124">
                  <c:v>74.067324311998604</c:v>
                </c:pt>
                <c:pt idx="125">
                  <c:v>73.768620860786754</c:v>
                </c:pt>
                <c:pt idx="126">
                  <c:v>73.471428859566998</c:v>
                </c:pt>
                <c:pt idx="127">
                  <c:v>73.175738175553434</c:v>
                </c:pt>
                <c:pt idx="128">
                  <c:v>72.881538761438293</c:v>
                </c:pt>
                <c:pt idx="129">
                  <c:v>72.588820654525591</c:v>
                </c:pt>
                <c:pt idx="130">
                  <c:v>72.297573975875224</c:v>
                </c:pt>
                <c:pt idx="131">
                  <c:v>72.00778892945722</c:v>
                </c:pt>
                <c:pt idx="132">
                  <c:v>71.719455801315647</c:v>
                </c:pt>
                <c:pt idx="133">
                  <c:v>71.432564958742859</c:v>
                </c:pt>
                <c:pt idx="134">
                  <c:v>71.147106849463043</c:v>
                </c:pt>
                <c:pt idx="135">
                  <c:v>70.863072000825397</c:v>
                </c:pt>
                <c:pt idx="136">
                  <c:v>70.580451019007</c:v>
                </c:pt>
                <c:pt idx="137">
                  <c:v>70.299234588224749</c:v>
                </c:pt>
                <c:pt idx="138">
                  <c:v>70.019413469956675</c:v>
                </c:pt>
                <c:pt idx="139">
                  <c:v>69.740978502171998</c:v>
                </c:pt>
                <c:pt idx="140">
                  <c:v>69.463920598570695</c:v>
                </c:pt>
                <c:pt idx="141">
                  <c:v>69.188230747831383</c:v>
                </c:pt>
                <c:pt idx="142">
                  <c:v>68.913900012868211</c:v>
                </c:pt>
                <c:pt idx="143">
                  <c:v>68.640919530096241</c:v>
                </c:pt>
                <c:pt idx="144">
                  <c:v>68.369280508705216</c:v>
                </c:pt>
                <c:pt idx="145">
                  <c:v>68.098974229942087</c:v>
                </c:pt>
                <c:pt idx="146">
                  <c:v>67.829992046401401</c:v>
                </c:pt>
                <c:pt idx="147">
                  <c:v>67.56232538132393</c:v>
                </c:pt>
                <c:pt idx="148">
                  <c:v>67.295965727903507</c:v>
                </c:pt>
                <c:pt idx="149">
                  <c:v>67.030904648601705</c:v>
                </c:pt>
                <c:pt idx="150">
                  <c:v>66.767133774470295</c:v>
                </c:pt>
                <c:pt idx="151">
                  <c:v>66.504644804481586</c:v>
                </c:pt>
                <c:pt idx="152">
                  <c:v>66.243429504866299</c:v>
                </c:pt>
                <c:pt idx="153">
                  <c:v>65.983479708458958</c:v>
                </c:pt>
                <c:pt idx="154">
                  <c:v>65.724787314050744</c:v>
                </c:pt>
                <c:pt idx="155">
                  <c:v>65.467344285749917</c:v>
                </c:pt>
                <c:pt idx="156">
                  <c:v>65.21114265234894</c:v>
                </c:pt>
                <c:pt idx="157">
                  <c:v>64.956174506699384</c:v>
                </c:pt>
                <c:pt idx="158">
                  <c:v>64.702432005093485</c:v>
                </c:pt>
                <c:pt idx="159">
                  <c:v>64.449907366652738</c:v>
                </c:pt>
                <c:pt idx="160">
                  <c:v>64.198592872723481</c:v>
                </c:pt>
                <c:pt idx="161">
                  <c:v>63.948480866279255</c:v>
                </c:pt>
                <c:pt idx="162">
                  <c:v>63.699563751329791</c:v>
                </c:pt>
                <c:pt idx="163">
                  <c:v>63.451833992336546</c:v>
                </c:pt>
                <c:pt idx="164">
                  <c:v>63.20528411363501</c:v>
                </c:pt>
                <c:pt idx="165">
                  <c:v>62.959906698863293</c:v>
                </c:pt>
                <c:pt idx="166">
                  <c:v>62.715694390397047</c:v>
                </c:pt>
                <c:pt idx="167">
                  <c:v>62.472639888790823</c:v>
                </c:pt>
                <c:pt idx="168">
                  <c:v>62.230735952225494</c:v>
                </c:pt>
                <c:pt idx="169">
                  <c:v>61.989975395961899</c:v>
                </c:pt>
                <c:pt idx="170">
                  <c:v>61.750351091800496</c:v>
                </c:pt>
                <c:pt idx="171">
                  <c:v>61.511855967546971</c:v>
                </c:pt>
                <c:pt idx="172">
                  <c:v>61.274483006483742</c:v>
                </c:pt>
                <c:pt idx="173">
                  <c:v>61.038225246847411</c:v>
                </c:pt>
                <c:pt idx="174">
                  <c:v>60.80307578131184</c:v>
                </c:pt>
                <c:pt idx="175">
                  <c:v>60.569027756476785</c:v>
                </c:pt>
                <c:pt idx="176">
                  <c:v>60.336074372362553</c:v>
                </c:pt>
                <c:pt idx="177">
                  <c:v>60.104208881909564</c:v>
                </c:pt>
                <c:pt idx="178">
                  <c:v>59.87342459048417</c:v>
                </c:pt>
                <c:pt idx="179">
                  <c:v>59.643714855389092</c:v>
                </c:pt>
                <c:pt idx="180">
                  <c:v>59.415073085379746</c:v>
                </c:pt>
                <c:pt idx="181">
                  <c:v>59.18749274018549</c:v>
                </c:pt>
                <c:pt idx="182">
                  <c:v>58.960967330036304</c:v>
                </c:pt>
                <c:pt idx="183">
                  <c:v>58.735490415194548</c:v>
                </c:pt>
                <c:pt idx="184">
                  <c:v>58.511055605491556</c:v>
                </c:pt>
                <c:pt idx="185">
                  <c:v>58.287656559869703</c:v>
                </c:pt>
                <c:pt idx="186">
                  <c:v>58.065286985928971</c:v>
                </c:pt>
                <c:pt idx="187">
                  <c:v>57.843940639478575</c:v>
                </c:pt>
                <c:pt idx="188">
                  <c:v>57.623611324093588</c:v>
                </c:pt>
                <c:pt idx="189">
                  <c:v>57.404292890675968</c:v>
                </c:pt>
                <c:pt idx="190">
                  <c:v>57.185979237020533</c:v>
                </c:pt>
                <c:pt idx="191">
                  <c:v>56.968664307385744</c:v>
                </c:pt>
                <c:pt idx="192">
                  <c:v>56.752342092068545</c:v>
                </c:pt>
                <c:pt idx="193">
                  <c:v>56.537006626984329</c:v>
                </c:pt>
                <c:pt idx="194">
                  <c:v>56.322651993250993</c:v>
                </c:pt>
                <c:pt idx="195">
                  <c:v>56.109272316777762</c:v>
                </c:pt>
                <c:pt idx="196">
                  <c:v>55.896861767857793</c:v>
                </c:pt>
                <c:pt idx="197">
                  <c:v>55.685414560765835</c:v>
                </c:pt>
                <c:pt idx="198">
                  <c:v>55.474924953359725</c:v>
                </c:pt>
                <c:pt idx="199">
                  <c:v>55.265387246686068</c:v>
                </c:pt>
                <c:pt idx="200">
                  <c:v>55.056795784590371</c:v>
                </c:pt>
                <c:pt idx="201">
                  <c:v>53.000065902547078</c:v>
                </c:pt>
                <c:pt idx="202">
                  <c:v>51.034321181765975</c:v>
                </c:pt>
                <c:pt idx="203">
                  <c:v>49.154334091169396</c:v>
                </c:pt>
                <c:pt idx="204">
                  <c:v>47.355252225385378</c:v>
                </c:pt>
                <c:pt idx="205">
                  <c:v>45.632566347096827</c:v>
                </c:pt>
                <c:pt idx="206">
                  <c:v>43.982081573944782</c:v>
                </c:pt>
                <c:pt idx="207">
                  <c:v>42.399891360287462</c:v>
                </c:pt>
                <c:pt idx="208">
                  <c:v>40.882353967371159</c:v>
                </c:pt>
                <c:pt idx="209">
                  <c:v>39.426071152846042</c:v>
                </c:pt>
                <c:pt idx="210">
                  <c:v>38.027868842930914</c:v>
                </c:pt>
                <c:pt idx="211">
                  <c:v>36.684779578622205</c:v>
                </c:pt>
                <c:pt idx="212">
                  <c:v>35.394026551771951</c:v>
                </c:pt>
                <c:pt idx="213">
                  <c:v>34.153009068143625</c:v>
                </c:pt>
                <c:pt idx="214">
                  <c:v>32.959289293136493</c:v>
                </c:pt>
                <c:pt idx="215">
                  <c:v>31.810580152119869</c:v>
                </c:pt>
                <c:pt idx="216">
                  <c:v>30.704734271558216</c:v>
                </c:pt>
                <c:pt idx="217">
                  <c:v>29.639733859605734</c:v>
                </c:pt>
                <c:pt idx="218">
                  <c:v>28.613681435838103</c:v>
                </c:pt>
                <c:pt idx="219">
                  <c:v>27.624791329467218</c:v>
                </c:pt>
                <c:pt idx="220">
                  <c:v>26.671381873921636</c:v>
                </c:pt>
                <c:pt idx="221">
                  <c:v>25.751868233218964</c:v>
                </c:pt>
                <c:pt idx="222">
                  <c:v>24.864755802231414</c:v>
                </c:pt>
                <c:pt idx="223">
                  <c:v>24.0086341288611</c:v>
                </c:pt>
                <c:pt idx="224">
                  <c:v>23.182171311392445</c:v>
                </c:pt>
                <c:pt idx="225">
                  <c:v>22.384108828955711</c:v>
                </c:pt>
                <c:pt idx="226">
                  <c:v>21.613256767189164</c:v>
                </c:pt>
                <c:pt idx="227">
                  <c:v>20.868489404889985</c:v>
                </c:pt>
                <c:pt idx="228">
                  <c:v>20.148741130747705</c:v>
                </c:pt>
                <c:pt idx="229">
                  <c:v>19.453002662206842</c:v>
                </c:pt>
                <c:pt idx="230">
                  <c:v>18.780317541147483</c:v>
                </c:pt>
                <c:pt idx="231">
                  <c:v>18.129778883439393</c:v>
                </c:pt>
                <c:pt idx="232">
                  <c:v>17.500526361548545</c:v>
                </c:pt>
                <c:pt idx="233">
                  <c:v>16.891743401281648</c:v>
                </c:pt>
                <c:pt idx="234">
                  <c:v>16.302654575468566</c:v>
                </c:pt>
                <c:pt idx="235">
                  <c:v>15.73252317892568</c:v>
                </c:pt>
                <c:pt idx="236">
                  <c:v>15.18064897043412</c:v>
                </c:pt>
                <c:pt idx="237">
                  <c:v>14.646366068720734</c:v>
                </c:pt>
                <c:pt idx="238">
                  <c:v>14.129040990563182</c:v>
                </c:pt>
                <c:pt idx="239">
                  <c:v>13.628070820164208</c:v>
                </c:pt>
                <c:pt idx="240">
                  <c:v>13.142881499867396</c:v>
                </c:pt>
                <c:pt idx="241">
                  <c:v>12.672926233126047</c:v>
                </c:pt>
                <c:pt idx="242">
                  <c:v>12.217683991398232</c:v>
                </c:pt>
                <c:pt idx="243">
                  <c:v>11.776658117332021</c:v>
                </c:pt>
                <c:pt idx="244">
                  <c:v>11.34937501723261</c:v>
                </c:pt>
                <c:pt idx="245">
                  <c:v>10.935382936373896</c:v>
                </c:pt>
                <c:pt idx="246">
                  <c:v>10.53425081123655</c:v>
                </c:pt>
                <c:pt idx="247">
                  <c:v>10.145567193227754</c:v>
                </c:pt>
                <c:pt idx="248">
                  <c:v>9.7689392388693754</c:v>
                </c:pt>
                <c:pt idx="249">
                  <c:v>9.4039917618349325</c:v>
                </c:pt>
                <c:pt idx="250">
                  <c:v>9.0503663425750869</c:v>
                </c:pt>
                <c:pt idx="251">
                  <c:v>8.7077204916001421</c:v>
                </c:pt>
                <c:pt idx="252">
                  <c:v>8.3757268627883992</c:v>
                </c:pt>
                <c:pt idx="253">
                  <c:v>8.0540725133642166</c:v>
                </c:pt>
                <c:pt idx="254">
                  <c:v>7.7424582074416337</c:v>
                </c:pt>
                <c:pt idx="255">
                  <c:v>7.4405977602601849</c:v>
                </c:pt>
                <c:pt idx="256">
                  <c:v>7.1482174204512852</c:v>
                </c:pt>
                <c:pt idx="257">
                  <c:v>6.865055287867909</c:v>
                </c:pt>
                <c:pt idx="258">
                  <c:v>6.5908607646886042</c:v>
                </c:pt>
                <c:pt idx="259">
                  <c:v>6.3253940376706428</c:v>
                </c:pt>
                <c:pt idx="260">
                  <c:v>6.0684255895779273</c:v>
                </c:pt>
                <c:pt idx="261">
                  <c:v>5.8197357379472381</c:v>
                </c:pt>
                <c:pt idx="262">
                  <c:v>5.5791141994839935</c:v>
                </c:pt>
                <c:pt idx="263">
                  <c:v>5.3463596784954346</c:v>
                </c:pt>
                <c:pt idx="264">
                  <c:v>5.1212794778766479</c:v>
                </c:pt>
                <c:pt idx="265">
                  <c:v>4.903689131263711</c:v>
                </c:pt>
                <c:pt idx="266">
                  <c:v>4.6934120550589276</c:v>
                </c:pt>
                <c:pt idx="267">
                  <c:v>4.4902792191163323</c:v>
                </c:pt>
                <c:pt idx="268">
                  <c:v>4.2941288349520192</c:v>
                </c:pt>
                <c:pt idx="269">
                  <c:v>4.1048060604135426</c:v>
                </c:pt>
                <c:pt idx="270">
                  <c:v>3.9221627198064217</c:v>
                </c:pt>
                <c:pt idx="271">
                  <c:v>3.7460570385336509</c:v>
                </c:pt>
                <c:pt idx="272">
                  <c:v>3.5763533913566334</c:v>
                </c:pt>
                <c:pt idx="273">
                  <c:v>3.4129220634332356</c:v>
                </c:pt>
                <c:pt idx="274">
                  <c:v>3.2556390233309211</c:v>
                </c:pt>
                <c:pt idx="275">
                  <c:v>3.1043857072503673</c:v>
                </c:pt>
                <c:pt idx="276">
                  <c:v>2.9590488137276836</c:v>
                </c:pt>
                <c:pt idx="277">
                  <c:v>2.8195201081114112</c:v>
                </c:pt>
                <c:pt idx="278">
                  <c:v>2.6856962361340218</c:v>
                </c:pt>
                <c:pt idx="279">
                  <c:v>2.5574785459164739</c:v>
                </c:pt>
                <c:pt idx="280">
                  <c:v>2.4347729177588615</c:v>
                </c:pt>
                <c:pt idx="281">
                  <c:v>2.3174896010799082</c:v>
                </c:pt>
                <c:pt idx="282">
                  <c:v>2.2055430578733639</c:v>
                </c:pt>
                <c:pt idx="283">
                  <c:v>2.0988518120500435</c:v>
                </c:pt>
                <c:pt idx="284">
                  <c:v>1.997338304030537</c:v>
                </c:pt>
                <c:pt idx="285">
                  <c:v>1.9009287499456409</c:v>
                </c:pt>
                <c:pt idx="286">
                  <c:v>1.8095530047895458</c:v>
                </c:pt>
                <c:pt idx="287">
                  <c:v>1.723144428855464</c:v>
                </c:pt>
                <c:pt idx="288">
                  <c:v>1.6416397567652461</c:v>
                </c:pt>
                <c:pt idx="289">
                  <c:v>1.564978968384896</c:v>
                </c:pt>
                <c:pt idx="290">
                  <c:v>1.493105160898174</c:v>
                </c:pt>
                <c:pt idx="291">
                  <c:v>1.4259644212928859</c:v>
                </c:pt>
                <c:pt idx="292">
                  <c:v>1.3635056985015601</c:v>
                </c:pt>
                <c:pt idx="293">
                  <c:v>1.3056806744334395</c:v>
                </c:pt>
                <c:pt idx="294">
                  <c:v>1.2524436331421265</c:v>
                </c:pt>
                <c:pt idx="295">
                  <c:v>1.2037513273973544</c:v>
                </c:pt>
                <c:pt idx="296">
                  <c:v>1.1595628419754347</c:v>
                </c:pt>
                <c:pt idx="297">
                  <c:v>1.1198394530558824</c:v>
                </c:pt>
                <c:pt idx="298">
                  <c:v>1.0845444832164448</c:v>
                </c:pt>
                <c:pt idx="299">
                  <c:v>1.0536431516585614</c:v>
                </c:pt>
                <c:pt idx="300">
                  <c:v>1.0271024194718663</c:v>
                </c:pt>
                <c:pt idx="301">
                  <c:v>1.0048908299582731</c:v>
                </c:pt>
                <c:pt idx="302">
                  <c:v>0.98697834427837616</c:v>
                </c:pt>
                <c:pt idx="303">
                  <c:v>0.97333617294628128</c:v>
                </c:pt>
                <c:pt idx="304">
                  <c:v>0.96393660396999525</c:v>
                </c:pt>
                <c:pt idx="305">
                  <c:v>0.95875282869652023</c:v>
                </c:pt>
                <c:pt idx="306">
                  <c:v>0.95775876665491078</c:v>
                </c:pt>
                <c:pt idx="307">
                  <c:v>0.96092889087811473</c:v>
                </c:pt>
                <c:pt idx="308">
                  <c:v>0.96823805530929397</c:v>
                </c:pt>
                <c:pt idx="309">
                  <c:v>0.97966132594925981</c:v>
                </c:pt>
                <c:pt idx="310">
                  <c:v>0.99517381737398991</c:v>
                </c:pt>
                <c:pt idx="311">
                  <c:v>1.0147505361476885</c:v>
                </c:pt>
                <c:pt idx="312">
                  <c:v>1.0383662324871934</c:v>
                </c:pt>
                <c:pt idx="313">
                  <c:v>1.0659952613128991</c:v>
                </c:pt>
                <c:pt idx="314">
                  <c:v>1.0976114535682362</c:v>
                </c:pt>
                <c:pt idx="315">
                  <c:v>1.1331879984232673</c:v>
                </c:pt>
                <c:pt idx="316">
                  <c:v>1.1726973367160445</c:v>
                </c:pt>
                <c:pt idx="317">
                  <c:v>1.2161110657424172</c:v>
                </c:pt>
                <c:pt idx="318">
                  <c:v>1.2633998552916836</c:v>
                </c:pt>
                <c:pt idx="319">
                  <c:v>1.3145333746478831</c:v>
                </c:pt>
                <c:pt idx="320">
                  <c:v>1.3694802301369939</c:v>
                </c:pt>
                <c:pt idx="321">
                  <c:v>1.4282079126978131</c:v>
                </c:pt>
                <c:pt idx="322">
                  <c:v>1.4906827548857693</c:v>
                </c:pt>
                <c:pt idx="323">
                  <c:v>1.5568698966796806</c:v>
                </c:pt>
                <c:pt idx="324">
                  <c:v>1.6267332594463562</c:v>
                </c:pt>
                <c:pt idx="325">
                  <c:v>1.7002355274217971</c:v>
                </c:pt>
                <c:pt idx="326">
                  <c:v>1.7773381360856377</c:v>
                </c:pt>
                <c:pt idx="327">
                  <c:v>1.858001266833218</c:v>
                </c:pt>
                <c:pt idx="328">
                  <c:v>1.9421838473837347</c:v>
                </c:pt>
                <c:pt idx="329">
                  <c:v>2.0298435574004818</c:v>
                </c:pt>
                <c:pt idx="330">
                  <c:v>2.1209368388380487</c:v>
                </c:pt>
                <c:pt idx="331">
                  <c:v>2.2154189105700097</c:v>
                </c:pt>
                <c:pt idx="332">
                  <c:v>2.3132437868878846</c:v>
                </c:pt>
                <c:pt idx="333">
                  <c:v>2.4143642994973984</c:v>
                </c:pt>
                <c:pt idx="334">
                  <c:v>2.5187321226707242</c:v>
                </c:pt>
                <c:pt idx="335">
                  <c:v>2.626297801243469</c:v>
                </c:pt>
                <c:pt idx="336">
                  <c:v>2.7370107811723479</c:v>
                </c:pt>
                <c:pt idx="337">
                  <c:v>2.8508194423941449</c:v>
                </c:pt>
                <c:pt idx="338">
                  <c:v>2.9676711337485915</c:v>
                </c:pt>
                <c:pt idx="339">
                  <c:v>3.0875122097474001</c:v>
                </c:pt>
                <c:pt idx="340">
                  <c:v>3.2102880689893789</c:v>
                </c:pt>
                <c:pt idx="341">
                  <c:v>3.3359431940369593</c:v>
                </c:pt>
                <c:pt idx="342">
                  <c:v>3.464421192583456</c:v>
                </c:pt>
                <c:pt idx="343">
                  <c:v>3.5956648397526036</c:v>
                </c:pt>
                <c:pt idx="344">
                  <c:v>3.7296161213829109</c:v>
                </c:pt>
                <c:pt idx="345">
                  <c:v>3.8662162781591372</c:v>
                </c:pt>
                <c:pt idx="346">
                  <c:v>4.0054058504619032</c:v>
                </c:pt>
                <c:pt idx="347">
                  <c:v>4.147124723814402</c:v>
                </c:pt>
                <c:pt idx="348">
                  <c:v>4.2913121748121084</c:v>
                </c:pt>
                <c:pt idx="349">
                  <c:v>4.437906917427938</c:v>
                </c:pt>
                <c:pt idx="350">
                  <c:v>4.5868471495911232</c:v>
                </c:pt>
                <c:pt idx="351">
                  <c:v>4.7380705999433799</c:v>
                </c:pt>
                <c:pt idx="352">
                  <c:v>4.8915145746810067</c:v>
                </c:pt>
                <c:pt idx="353">
                  <c:v>5.0471160043960595</c:v>
                </c:pt>
                <c:pt idx="354">
                  <c:v>5.204811490834139</c:v>
                </c:pt>
                <c:pt idx="355">
                  <c:v>5.3645373534902774</c:v>
                </c:pt>
                <c:pt idx="356">
                  <c:v>5.5262296759683363</c:v>
                </c:pt>
                <c:pt idx="357">
                  <c:v>5.689824352032975</c:v>
                </c:pt>
                <c:pt idx="358">
                  <c:v>5.8552571312866055</c:v>
                </c:pt>
                <c:pt idx="359">
                  <c:v>6.0224636644073648</c:v>
                </c:pt>
                <c:pt idx="360">
                  <c:v>6.1913795478871165</c:v>
                </c:pt>
                <c:pt idx="361">
                  <c:v>6.3619403682118261</c:v>
                </c:pt>
                <c:pt idx="362">
                  <c:v>6.5340817454296749</c:v>
                </c:pt>
                <c:pt idx="363">
                  <c:v>6.7077393760552253</c:v>
                </c:pt>
                <c:pt idx="364">
                  <c:v>6.8828490752609381</c:v>
                </c:pt>
                <c:pt idx="365">
                  <c:v>7.0593468183101908</c:v>
                </c:pt>
                <c:pt idx="366">
                  <c:v>7.2371687811887409</c:v>
                </c:pt>
                <c:pt idx="367">
                  <c:v>7.416251380394387</c:v>
                </c:pt>
                <c:pt idx="368">
                  <c:v>7.5965313118472775</c:v>
                </c:pt>
                <c:pt idx="369">
                  <c:v>7.7779455888859603</c:v>
                </c:pt>
                <c:pt idx="370">
                  <c:v>7.9604315793169791</c:v>
                </c:pt>
                <c:pt idx="371">
                  <c:v>8.1439270414883058</c:v>
                </c:pt>
                <c:pt idx="372">
                  <c:v>8.3283701593595332</c:v>
                </c:pt>
                <c:pt idx="373">
                  <c:v>8.5136995765441892</c:v>
                </c:pt>
                <c:pt idx="374">
                  <c:v>8.6998544293019719</c:v>
                </c:pt>
                <c:pt idx="375">
                  <c:v>8.8867743784612241</c:v>
                </c:pt>
                <c:pt idx="376">
                  <c:v>9.0743996402541374</c:v>
                </c:pt>
                <c:pt idx="377">
                  <c:v>9.2626710160496035</c:v>
                </c:pt>
                <c:pt idx="378">
                  <c:v>9.4515299209709589</c:v>
                </c:pt>
                <c:pt idx="379">
                  <c:v>9.6409184113877391</c:v>
                </c:pt>
                <c:pt idx="380">
                  <c:v>9.8307792112732066</c:v>
                </c:pt>
                <c:pt idx="381">
                  <c:v>10.021055737420964</c:v>
                </c:pt>
                <c:pt idx="382">
                  <c:v>10.211692123516402</c:v>
                </c:pt>
                <c:pt idx="383">
                  <c:v>10.402633243060507</c:v>
                </c:pt>
                <c:pt idx="384">
                  <c:v>10.593824731145428</c:v>
                </c:pt>
                <c:pt idx="385">
                  <c:v>10.785213005083198</c:v>
                </c:pt>
                <c:pt idx="386">
                  <c:v>10.976745283890551</c:v>
                </c:pt>
                <c:pt idx="387">
                  <c:v>11.168369606634792</c:v>
                </c:pt>
                <c:pt idx="388">
                  <c:v>11.360034849646922</c:v>
                </c:pt>
                <c:pt idx="389">
                  <c:v>11.551690742610175</c:v>
                </c:pt>
                <c:pt idx="390">
                  <c:v>11.743287883533361</c:v>
                </c:pt>
                <c:pt idx="391">
                  <c:v>11.934777752620048</c:v>
                </c:pt>
                <c:pt idx="392">
                  <c:v>12.126112725045653</c:v>
                </c:pt>
                <c:pt idx="393">
                  <c:v>12.317246082656299</c:v>
                </c:pt>
                <c:pt idx="394">
                  <c:v>12.508132024603988</c:v>
                </c:pt>
                <c:pt idx="395">
                  <c:v>12.698725676934275</c:v>
                </c:pt>
                <c:pt idx="396">
                  <c:v>12.888983101143225</c:v>
                </c:pt>
                <c:pt idx="397">
                  <c:v>13.078861301721934</c:v>
                </c:pt>
                <c:pt idx="398">
                  <c:v>13.268318232707481</c:v>
                </c:pt>
                <c:pt idx="399">
                  <c:v>13.457312803260246</c:v>
                </c:pt>
                <c:pt idx="400">
                  <c:v>13.645804882288187</c:v>
                </c:pt>
                <c:pt idx="401">
                  <c:v>13.833755302139616</c:v>
                </c:pt>
                <c:pt idx="402">
                  <c:v>14.021125861386468</c:v>
                </c:pt>
                <c:pt idx="403">
                  <c:v>14.207879326720871</c:v>
                </c:pt>
                <c:pt idx="404">
                  <c:v>14.393979433988175</c:v>
                </c:pt>
                <c:pt idx="405">
                  <c:v>14.579390888380297</c:v>
                </c:pt>
                <c:pt idx="406">
                  <c:v>14.764079363813488</c:v>
                </c:pt>
                <c:pt idx="407">
                  <c:v>14.948011501515083</c:v>
                </c:pt>
                <c:pt idx="408">
                  <c:v>15.13115490784406</c:v>
                </c:pt>
                <c:pt idx="409">
                  <c:v>15.313478151370679</c:v>
                </c:pt>
                <c:pt idx="410">
                  <c:v>15.494950759240258</c:v>
                </c:pt>
                <c:pt idx="411">
                  <c:v>15.675543212846799</c:v>
                </c:pt>
                <c:pt idx="412">
                  <c:v>15.855226942841892</c:v>
                </c:pt>
                <c:pt idx="413">
                  <c:v>16.033974323504527</c:v>
                </c:pt>
                <c:pt idx="414">
                  <c:v>16.211758666497591</c:v>
                </c:pt>
                <c:pt idx="415">
                  <c:v>16.388554214036379</c:v>
                </c:pt>
                <c:pt idx="416">
                  <c:v>16.564336131494844</c:v>
                </c:pt>
                <c:pt idx="417">
                  <c:v>16.739080499474959</c:v>
                </c:pt>
                <c:pt idx="418">
                  <c:v>16.912764305364291</c:v>
                </c:pt>
                <c:pt idx="419">
                  <c:v>17.085365434406949</c:v>
                </c:pt>
                <c:pt idx="420">
                  <c:v>17.256862660312642</c:v>
                </c:pt>
                <c:pt idx="421">
                  <c:v>17.42723563542847</c:v>
                </c:pt>
                <c:pt idx="422">
                  <c:v>17.596464880497621</c:v>
                </c:pt>
                <c:pt idx="423">
                  <c:v>17.764531774028871</c:v>
                </c:pt>
                <c:pt idx="424">
                  <c:v>17.931418541300712</c:v>
                </c:pt>
                <c:pt idx="425">
                  <c:v>18.097108243022884</c:v>
                </c:pt>
                <c:pt idx="426">
                  <c:v>18.261584763678638</c:v>
                </c:pt>
                <c:pt idx="427">
                  <c:v>18.424832799569664</c:v>
                </c:pt>
                <c:pt idx="428">
                  <c:v>18.586837846585983</c:v>
                </c:pt>
                <c:pt idx="429">
                  <c:v>18.747586187722106</c:v>
                </c:pt>
                <c:pt idx="430">
                  <c:v>18.90706488036059</c:v>
                </c:pt>
                <c:pt idx="431">
                  <c:v>19.06526174334353</c:v>
                </c:pt>
                <c:pt idx="432">
                  <c:v>19.222165343851998</c:v>
                </c:pt>
                <c:pt idx="433">
                  <c:v>19.377764984113021</c:v>
                </c:pt>
                <c:pt idx="434">
                  <c:v>19.532050687953124</c:v>
                </c:pt>
                <c:pt idx="435">
                  <c:v>19.685013187216924</c:v>
                </c:pt>
                <c:pt idx="436">
                  <c:v>19.836643908068719</c:v>
                </c:pt>
                <c:pt idx="437">
                  <c:v>19.986934957194567</c:v>
                </c:pt>
                <c:pt idx="438">
                  <c:v>20.135879107921657</c:v>
                </c:pt>
                <c:pt idx="439">
                  <c:v>20.283469786271382</c:v>
                </c:pt>
                <c:pt idx="440">
                  <c:v>20.429701056961871</c:v>
                </c:pt>
                <c:pt idx="441">
                  <c:v>20.574567609375215</c:v>
                </c:pt>
                <c:pt idx="442">
                  <c:v>20.718064743504076</c:v>
                </c:pt>
                <c:pt idx="443">
                  <c:v>20.860188355891953</c:v>
                </c:pt>
                <c:pt idx="444">
                  <c:v>21.000934925580388</c:v>
                </c:pt>
                <c:pt idx="445">
                  <c:v>21.140301500076539</c:v>
                </c:pt>
                <c:pt idx="446">
                  <c:v>21.278285681353438</c:v>
                </c:pt>
                <c:pt idx="447">
                  <c:v>21.414885611894878</c:v>
                </c:pt>
                <c:pt idx="448">
                  <c:v>21.550099960796604</c:v>
                </c:pt>
                <c:pt idx="449">
                  <c:v>21.683927909934429</c:v>
                </c:pt>
                <c:pt idx="450">
                  <c:v>21.816369140210067</c:v>
                </c:pt>
                <c:pt idx="451">
                  <c:v>21.947423817884207</c:v>
                </c:pt>
                <c:pt idx="452">
                  <c:v>22.077092581006593</c:v>
                </c:pt>
                <c:pt idx="453">
                  <c:v>22.205376525951834</c:v>
                </c:pt>
                <c:pt idx="454">
                  <c:v>22.332277194069356</c:v>
                </c:pt>
                <c:pt idx="455">
                  <c:v>22.457796558455581</c:v>
                </c:pt>
                <c:pt idx="456">
                  <c:v>22.581937010855885</c:v>
                </c:pt>
                <c:pt idx="457">
                  <c:v>22.704701348703153</c:v>
                </c:pt>
                <c:pt idx="458">
                  <c:v>22.826092762299758</c:v>
                </c:pt>
                <c:pt idx="459">
                  <c:v>22.946114822149021</c:v>
                </c:pt>
                <c:pt idx="460">
                  <c:v>23.064771466441996</c:v>
                </c:pt>
                <c:pt idx="461">
                  <c:v>23.182066988704893</c:v>
                </c:pt>
                <c:pt idx="462">
                  <c:v>23.29800602561199</c:v>
                </c:pt>
                <c:pt idx="463">
                  <c:v>23.412593544968697</c:v>
                </c:pt>
                <c:pt idx="464">
                  <c:v>23.525834833869041</c:v>
                </c:pt>
                <c:pt idx="465">
                  <c:v>23.637735487031016</c:v>
                </c:pt>
                <c:pt idx="466">
                  <c:v>23.74830139531386</c:v>
                </c:pt>
                <c:pt idx="467">
                  <c:v>23.857538734419688</c:v>
                </c:pt>
                <c:pt idx="468">
                  <c:v>23.965453953782848</c:v>
                </c:pt>
                <c:pt idx="469">
                  <c:v>24.072053765649127</c:v>
                </c:pt>
                <c:pt idx="470">
                  <c:v>24.177345134347114</c:v>
                </c:pt>
                <c:pt idx="471">
                  <c:v>24.281335265753501</c:v>
                </c:pt>
                <c:pt idx="472">
                  <c:v>24.384031596953971</c:v>
                </c:pt>
                <c:pt idx="473">
                  <c:v>24.485441786100974</c:v>
                </c:pt>
                <c:pt idx="474">
                  <c:v>24.585573702469251</c:v>
                </c:pt>
                <c:pt idx="475">
                  <c:v>24.684435416710265</c:v>
                </c:pt>
                <c:pt idx="476">
                  <c:v>24.78203519130571</c:v>
                </c:pt>
                <c:pt idx="477">
                  <c:v>24.878381471220507</c:v>
                </c:pt>
                <c:pt idx="478">
                  <c:v>24.973482874755671</c:v>
                </c:pt>
                <c:pt idx="479">
                  <c:v>25.067348184600416</c:v>
                </c:pt>
                <c:pt idx="480">
                  <c:v>25.159986339083627</c:v>
                </c:pt>
                <c:pt idx="481">
                  <c:v>25.251406423623962</c:v>
                </c:pt>
                <c:pt idx="482">
                  <c:v>25.341617662377896</c:v>
                </c:pt>
                <c:pt idx="483">
                  <c:v>25.430629410085029</c:v>
                </c:pt>
                <c:pt idx="484">
                  <c:v>25.518451144109328</c:v>
                </c:pt>
                <c:pt idx="485">
                  <c:v>25.605092456675365</c:v>
                </c:pt>
                <c:pt idx="486">
                  <c:v>25.690563047298181</c:v>
                </c:pt>
                <c:pt idx="487">
                  <c:v>25.774872715405166</c:v>
                </c:pt>
                <c:pt idx="488">
                  <c:v>25.858031353148618</c:v>
                </c:pt>
                <c:pt idx="489">
                  <c:v>25.940048938406967</c:v>
                </c:pt>
                <c:pt idx="490">
                  <c:v>26.020935527973116</c:v>
                </c:pt>
                <c:pt idx="491">
                  <c:v>26.100701250927806</c:v>
                </c:pt>
                <c:pt idx="492">
                  <c:v>26.179356302195941</c:v>
                </c:pt>
                <c:pt idx="493">
                  <c:v>26.256910936284033</c:v>
                </c:pt>
                <c:pt idx="494">
                  <c:v>26.333375461196045</c:v>
                </c:pt>
                <c:pt idx="495">
                  <c:v>26.408760232526067</c:v>
                </c:pt>
                <c:pt idx="496">
                  <c:v>26.483075647724675</c:v>
                </c:pt>
                <c:pt idx="497">
                  <c:v>26.556332140537258</c:v>
                </c:pt>
                <c:pt idx="498">
                  <c:v>26.628540175611288</c:v>
                </c:pt>
                <c:pt idx="499">
                  <c:v>26.69971024327053</c:v>
                </c:pt>
                <c:pt idx="500">
                  <c:v>26.769852854453106</c:v>
                </c:pt>
                <c:pt idx="501">
                  <c:v>26.838978535811076</c:v>
                </c:pt>
                <c:pt idx="502">
                  <c:v>26.907097824968911</c:v>
                </c:pt>
                <c:pt idx="503">
                  <c:v>26.974221265938063</c:v>
                </c:pt>
                <c:pt idx="504">
                  <c:v>27.040359404684846</c:v>
                </c:pt>
                <c:pt idx="505">
                  <c:v>27.105522784849118</c:v>
                </c:pt>
                <c:pt idx="506">
                  <c:v>27.169721943610789</c:v>
                </c:pt>
                <c:pt idx="507">
                  <c:v>27.232967407701469</c:v>
                </c:pt>
                <c:pt idx="508">
                  <c:v>27.29526968955852</c:v>
                </c:pt>
                <c:pt idx="509">
                  <c:v>27.356639283618584</c:v>
                </c:pt>
                <c:pt idx="510">
                  <c:v>27.417086662747938</c:v>
                </c:pt>
                <c:pt idx="511">
                  <c:v>27.476622274806786</c:v>
                </c:pt>
                <c:pt idx="512">
                  <c:v>27.535256539344626</c:v>
                </c:pt>
                <c:pt idx="513">
                  <c:v>27.592999844424227</c:v>
                </c:pt>
                <c:pt idx="514">
                  <c:v>27.649862543570865</c:v>
                </c:pt>
                <c:pt idx="515">
                  <c:v>27.705854952844678</c:v>
                </c:pt>
                <c:pt idx="516">
                  <c:v>27.760987348032899</c:v>
                </c:pt>
                <c:pt idx="517">
                  <c:v>27.761041567911523</c:v>
                </c:pt>
                <c:pt idx="518">
                  <c:v>27.761095786954705</c:v>
                </c:pt>
                <c:pt idx="519">
                  <c:v>27.761150005162495</c:v>
                </c:pt>
                <c:pt idx="520">
                  <c:v>27.761204222534886</c:v>
                </c:pt>
                <c:pt idx="521">
                  <c:v>27.76125843907186</c:v>
                </c:pt>
                <c:pt idx="522">
                  <c:v>27.761312654773462</c:v>
                </c:pt>
                <c:pt idx="523">
                  <c:v>27.761366869639716</c:v>
                </c:pt>
                <c:pt idx="524">
                  <c:v>27.761421083670573</c:v>
                </c:pt>
                <c:pt idx="525">
                  <c:v>27.761475296866109</c:v>
                </c:pt>
                <c:pt idx="526">
                  <c:v>27.761529509226285</c:v>
                </c:pt>
                <c:pt idx="527">
                  <c:v>27.76158372075114</c:v>
                </c:pt>
                <c:pt idx="528">
                  <c:v>27.761637931440664</c:v>
                </c:pt>
                <c:pt idx="529">
                  <c:v>27.761692141294866</c:v>
                </c:pt>
                <c:pt idx="530">
                  <c:v>27.761746350313786</c:v>
                </c:pt>
                <c:pt idx="531">
                  <c:v>27.761800558497402</c:v>
                </c:pt>
                <c:pt idx="532">
                  <c:v>27.761854765845751</c:v>
                </c:pt>
                <c:pt idx="533">
                  <c:v>27.761908972358807</c:v>
                </c:pt>
                <c:pt idx="534">
                  <c:v>27.761963178036602</c:v>
                </c:pt>
                <c:pt idx="535">
                  <c:v>27.762017382879186</c:v>
                </c:pt>
                <c:pt idx="536">
                  <c:v>27.762071586886467</c:v>
                </c:pt>
                <c:pt idx="537">
                  <c:v>27.762125790058551</c:v>
                </c:pt>
                <c:pt idx="538">
                  <c:v>27.762179992395406</c:v>
                </c:pt>
                <c:pt idx="539">
                  <c:v>27.762234193897037</c:v>
                </c:pt>
                <c:pt idx="540">
                  <c:v>27.762288394563488</c:v>
                </c:pt>
                <c:pt idx="541">
                  <c:v>27.762342594394731</c:v>
                </c:pt>
                <c:pt idx="542">
                  <c:v>27.762396793390803</c:v>
                </c:pt>
                <c:pt idx="543">
                  <c:v>27.762450991551681</c:v>
                </c:pt>
                <c:pt idx="544">
                  <c:v>27.762505188877416</c:v>
                </c:pt>
                <c:pt idx="545">
                  <c:v>27.76255938536799</c:v>
                </c:pt>
                <c:pt idx="546">
                  <c:v>27.762613581023427</c:v>
                </c:pt>
                <c:pt idx="547">
                  <c:v>27.762667775843724</c:v>
                </c:pt>
                <c:pt idx="548">
                  <c:v>27.762721969828903</c:v>
                </c:pt>
                <c:pt idx="549">
                  <c:v>27.762776162978962</c:v>
                </c:pt>
                <c:pt idx="550">
                  <c:v>27.762830355293929</c:v>
                </c:pt>
                <c:pt idx="551">
                  <c:v>27.762884546773819</c:v>
                </c:pt>
                <c:pt idx="552">
                  <c:v>27.762938737418597</c:v>
                </c:pt>
                <c:pt idx="553">
                  <c:v>27.762992927228314</c:v>
                </c:pt>
                <c:pt idx="554">
                  <c:v>27.763047116202959</c:v>
                </c:pt>
                <c:pt idx="555">
                  <c:v>27.76310130434257</c:v>
                </c:pt>
                <c:pt idx="556">
                  <c:v>27.763155491647122</c:v>
                </c:pt>
                <c:pt idx="557">
                  <c:v>27.763209678116656</c:v>
                </c:pt>
                <c:pt idx="558">
                  <c:v>27.763263863751149</c:v>
                </c:pt>
                <c:pt idx="559">
                  <c:v>27.763318048550644</c:v>
                </c:pt>
                <c:pt idx="560">
                  <c:v>27.763372232515128</c:v>
                </c:pt>
                <c:pt idx="561">
                  <c:v>27.763426415644616</c:v>
                </c:pt>
                <c:pt idx="562">
                  <c:v>27.763480597939125</c:v>
                </c:pt>
                <c:pt idx="563">
                  <c:v>27.763534779398658</c:v>
                </c:pt>
                <c:pt idx="564">
                  <c:v>27.763588960023231</c:v>
                </c:pt>
                <c:pt idx="565">
                  <c:v>27.763643139812853</c:v>
                </c:pt>
                <c:pt idx="566">
                  <c:v>27.763697318767523</c:v>
                </c:pt>
                <c:pt idx="567">
                  <c:v>27.763751496887274</c:v>
                </c:pt>
                <c:pt idx="568">
                  <c:v>27.763805674172094</c:v>
                </c:pt>
                <c:pt idx="569">
                  <c:v>27.763859850621991</c:v>
                </c:pt>
                <c:pt idx="570">
                  <c:v>27.763914026237003</c:v>
                </c:pt>
                <c:pt idx="571">
                  <c:v>27.763968201017097</c:v>
                </c:pt>
                <c:pt idx="572">
                  <c:v>27.764022374962334</c:v>
                </c:pt>
                <c:pt idx="573">
                  <c:v>27.764076548072691</c:v>
                </c:pt>
                <c:pt idx="574">
                  <c:v>27.764130720348181</c:v>
                </c:pt>
                <c:pt idx="575">
                  <c:v>27.764184891788815</c:v>
                </c:pt>
                <c:pt idx="576">
                  <c:v>27.764239062394608</c:v>
                </c:pt>
                <c:pt idx="577">
                  <c:v>27.764293232165567</c:v>
                </c:pt>
                <c:pt idx="578">
                  <c:v>27.764347401101691</c:v>
                </c:pt>
                <c:pt idx="579">
                  <c:v>27.76440156920302</c:v>
                </c:pt>
                <c:pt idx="580">
                  <c:v>27.76445573646955</c:v>
                </c:pt>
                <c:pt idx="581">
                  <c:v>27.764509902901263</c:v>
                </c:pt>
                <c:pt idx="582">
                  <c:v>27.764564068498203</c:v>
                </c:pt>
                <c:pt idx="583">
                  <c:v>27.764618233260379</c:v>
                </c:pt>
                <c:pt idx="584">
                  <c:v>27.764672397187788</c:v>
                </c:pt>
                <c:pt idx="585">
                  <c:v>27.764726560280426</c:v>
                </c:pt>
                <c:pt idx="586">
                  <c:v>27.76478072253833</c:v>
                </c:pt>
                <c:pt idx="587">
                  <c:v>27.764834883961502</c:v>
                </c:pt>
                <c:pt idx="588">
                  <c:v>27.764889044549964</c:v>
                </c:pt>
                <c:pt idx="589">
                  <c:v>27.764943204303691</c:v>
                </c:pt>
                <c:pt idx="590">
                  <c:v>27.764997363222726</c:v>
                </c:pt>
                <c:pt idx="591">
                  <c:v>27.765051521307054</c:v>
                </c:pt>
                <c:pt idx="592">
                  <c:v>27.765105678556715</c:v>
                </c:pt>
                <c:pt idx="593">
                  <c:v>27.765159834971687</c:v>
                </c:pt>
                <c:pt idx="594">
                  <c:v>27.765213990552006</c:v>
                </c:pt>
                <c:pt idx="595">
                  <c:v>27.765268145297654</c:v>
                </c:pt>
                <c:pt idx="596">
                  <c:v>27.765322299208677</c:v>
                </c:pt>
                <c:pt idx="597">
                  <c:v>27.765376452285054</c:v>
                </c:pt>
                <c:pt idx="598">
                  <c:v>27.765430604526813</c:v>
                </c:pt>
                <c:pt idx="599">
                  <c:v>27.765484755933958</c:v>
                </c:pt>
                <c:pt idx="600">
                  <c:v>27.765538906506478</c:v>
                </c:pt>
                <c:pt idx="601">
                  <c:v>27.765593056244438</c:v>
                </c:pt>
                <c:pt idx="602">
                  <c:v>27.76564720514779</c:v>
                </c:pt>
                <c:pt idx="603">
                  <c:v>27.765701353216581</c:v>
                </c:pt>
                <c:pt idx="604">
                  <c:v>27.765755500450794</c:v>
                </c:pt>
                <c:pt idx="605">
                  <c:v>27.765809646850464</c:v>
                </c:pt>
                <c:pt idx="606">
                  <c:v>27.765863792415594</c:v>
                </c:pt>
                <c:pt idx="607">
                  <c:v>27.765917937146163</c:v>
                </c:pt>
                <c:pt idx="608">
                  <c:v>27.765972081042221</c:v>
                </c:pt>
                <c:pt idx="609">
                  <c:v>27.766026224103769</c:v>
                </c:pt>
                <c:pt idx="610">
                  <c:v>27.766080366330819</c:v>
                </c:pt>
                <c:pt idx="611">
                  <c:v>27.766134507723358</c:v>
                </c:pt>
                <c:pt idx="612">
                  <c:v>27.766188648281432</c:v>
                </c:pt>
                <c:pt idx="613">
                  <c:v>27.766242788005034</c:v>
                </c:pt>
                <c:pt idx="614">
                  <c:v>27.766296926894146</c:v>
                </c:pt>
                <c:pt idx="615">
                  <c:v>27.766351064948818</c:v>
                </c:pt>
                <c:pt idx="616">
                  <c:v>27.766405202169047</c:v>
                </c:pt>
                <c:pt idx="617">
                  <c:v>27.766459338554842</c:v>
                </c:pt>
                <c:pt idx="618">
                  <c:v>27.766513474106198</c:v>
                </c:pt>
                <c:pt idx="619">
                  <c:v>27.766567608823152</c:v>
                </c:pt>
                <c:pt idx="620">
                  <c:v>27.766621742705698</c:v>
                </c:pt>
                <c:pt idx="621">
                  <c:v>27.766675875753847</c:v>
                </c:pt>
                <c:pt idx="622">
                  <c:v>27.766730007967617</c:v>
                </c:pt>
                <c:pt idx="623">
                  <c:v>27.766784139347003</c:v>
                </c:pt>
                <c:pt idx="624">
                  <c:v>27.766838269892023</c:v>
                </c:pt>
                <c:pt idx="625">
                  <c:v>27.766892399602703</c:v>
                </c:pt>
                <c:pt idx="626">
                  <c:v>27.766946528479025</c:v>
                </c:pt>
                <c:pt idx="627">
                  <c:v>27.767000656521009</c:v>
                </c:pt>
                <c:pt idx="628">
                  <c:v>27.767054783728668</c:v>
                </c:pt>
                <c:pt idx="629">
                  <c:v>27.767108910102017</c:v>
                </c:pt>
                <c:pt idx="630">
                  <c:v>27.767163035641065</c:v>
                </c:pt>
                <c:pt idx="631">
                  <c:v>27.767217160345826</c:v>
                </c:pt>
                <c:pt idx="632">
                  <c:v>27.767271284216275</c:v>
                </c:pt>
                <c:pt idx="633">
                  <c:v>27.767325407252468</c:v>
                </c:pt>
                <c:pt idx="634">
                  <c:v>27.767379529454377</c:v>
                </c:pt>
                <c:pt idx="635">
                  <c:v>27.76743365082206</c:v>
                </c:pt>
                <c:pt idx="636">
                  <c:v>27.767487771355462</c:v>
                </c:pt>
                <c:pt idx="637">
                  <c:v>27.767541891054655</c:v>
                </c:pt>
                <c:pt idx="638">
                  <c:v>27.767596009919625</c:v>
                </c:pt>
                <c:pt idx="639">
                  <c:v>27.767650127950354</c:v>
                </c:pt>
                <c:pt idx="640">
                  <c:v>27.767704245146884</c:v>
                </c:pt>
                <c:pt idx="641">
                  <c:v>27.767758361509234</c:v>
                </c:pt>
                <c:pt idx="642">
                  <c:v>27.767812477037388</c:v>
                </c:pt>
                <c:pt idx="643">
                  <c:v>27.767866591731369</c:v>
                </c:pt>
                <c:pt idx="644">
                  <c:v>27.767920705591184</c:v>
                </c:pt>
                <c:pt idx="645">
                  <c:v>27.767974818616842</c:v>
                </c:pt>
                <c:pt idx="646">
                  <c:v>27.768028930808342</c:v>
                </c:pt>
                <c:pt idx="647">
                  <c:v>27.768083042165724</c:v>
                </c:pt>
                <c:pt idx="648">
                  <c:v>27.768137152688983</c:v>
                </c:pt>
                <c:pt idx="649">
                  <c:v>27.7681912623781</c:v>
                </c:pt>
                <c:pt idx="650">
                  <c:v>27.768245371233142</c:v>
                </c:pt>
                <c:pt idx="651">
                  <c:v>27.768299479254068</c:v>
                </c:pt>
                <c:pt idx="652">
                  <c:v>27.768353586440913</c:v>
                </c:pt>
                <c:pt idx="653">
                  <c:v>27.768407692793676</c:v>
                </c:pt>
                <c:pt idx="654">
                  <c:v>27.768461798312387</c:v>
                </c:pt>
                <c:pt idx="655">
                  <c:v>27.768515902997031</c:v>
                </c:pt>
                <c:pt idx="656">
                  <c:v>27.768570006847636</c:v>
                </c:pt>
                <c:pt idx="657">
                  <c:v>27.768624109864191</c:v>
                </c:pt>
                <c:pt idx="658">
                  <c:v>27.768678212046723</c:v>
                </c:pt>
                <c:pt idx="659">
                  <c:v>27.768732313395258</c:v>
                </c:pt>
                <c:pt idx="660">
                  <c:v>27.768786413909773</c:v>
                </c:pt>
                <c:pt idx="661">
                  <c:v>27.768840513590288</c:v>
                </c:pt>
                <c:pt idx="662">
                  <c:v>27.768894612436814</c:v>
                </c:pt>
                <c:pt idx="663">
                  <c:v>27.768948710449369</c:v>
                </c:pt>
                <c:pt idx="664">
                  <c:v>27.769002807627963</c:v>
                </c:pt>
                <c:pt idx="665">
                  <c:v>27.769056903972579</c:v>
                </c:pt>
                <c:pt idx="666">
                  <c:v>27.769110999483281</c:v>
                </c:pt>
                <c:pt idx="667">
                  <c:v>27.769165094160016</c:v>
                </c:pt>
                <c:pt idx="668">
                  <c:v>27.769219188002847</c:v>
                </c:pt>
                <c:pt idx="669">
                  <c:v>27.769273281011749</c:v>
                </c:pt>
                <c:pt idx="670">
                  <c:v>27.769327373186744</c:v>
                </c:pt>
                <c:pt idx="671">
                  <c:v>27.769381464527857</c:v>
                </c:pt>
                <c:pt idx="672">
                  <c:v>27.76943555503507</c:v>
                </c:pt>
                <c:pt idx="673">
                  <c:v>27.769489644708401</c:v>
                </c:pt>
                <c:pt idx="674">
                  <c:v>27.769543733547884</c:v>
                </c:pt>
                <c:pt idx="675">
                  <c:v>27.769597821553493</c:v>
                </c:pt>
                <c:pt idx="676">
                  <c:v>27.769651908725255</c:v>
                </c:pt>
                <c:pt idx="677">
                  <c:v>27.769705995063187</c:v>
                </c:pt>
                <c:pt idx="678">
                  <c:v>27.769760080567284</c:v>
                </c:pt>
                <c:pt idx="679">
                  <c:v>27.769814165237584</c:v>
                </c:pt>
                <c:pt idx="680">
                  <c:v>27.769868249074054</c:v>
                </c:pt>
                <c:pt idx="681">
                  <c:v>27.769922332076728</c:v>
                </c:pt>
                <c:pt idx="682">
                  <c:v>27.769976414245619</c:v>
                </c:pt>
                <c:pt idx="683">
                  <c:v>27.770030495580738</c:v>
                </c:pt>
                <c:pt idx="684">
                  <c:v>27.770084576082091</c:v>
                </c:pt>
                <c:pt idx="685">
                  <c:v>27.770138655749683</c:v>
                </c:pt>
                <c:pt idx="686">
                  <c:v>27.770192734583535</c:v>
                </c:pt>
                <c:pt idx="687">
                  <c:v>27.770246812583636</c:v>
                </c:pt>
                <c:pt idx="688">
                  <c:v>27.770300889750015</c:v>
                </c:pt>
                <c:pt idx="689">
                  <c:v>27.770354966082667</c:v>
                </c:pt>
                <c:pt idx="690">
                  <c:v>27.770409041581633</c:v>
                </c:pt>
                <c:pt idx="691">
                  <c:v>27.770463116246884</c:v>
                </c:pt>
                <c:pt idx="692">
                  <c:v>27.770517190078461</c:v>
                </c:pt>
                <c:pt idx="693">
                  <c:v>27.770571263076345</c:v>
                </c:pt>
                <c:pt idx="694">
                  <c:v>27.77062533524056</c:v>
                </c:pt>
                <c:pt idx="695">
                  <c:v>27.770679406571126</c:v>
                </c:pt>
                <c:pt idx="696">
                  <c:v>27.770733477068049</c:v>
                </c:pt>
                <c:pt idx="697">
                  <c:v>27.770787546731331</c:v>
                </c:pt>
                <c:pt idx="698">
                  <c:v>27.770841615560983</c:v>
                </c:pt>
                <c:pt idx="699">
                  <c:v>27.770895683557018</c:v>
                </c:pt>
                <c:pt idx="700">
                  <c:v>27.770949750719446</c:v>
                </c:pt>
                <c:pt idx="701">
                  <c:v>27.771003817048282</c:v>
                </c:pt>
                <c:pt idx="702">
                  <c:v>27.771057882543516</c:v>
                </c:pt>
                <c:pt idx="703">
                  <c:v>27.771111947205174</c:v>
                </c:pt>
                <c:pt idx="704">
                  <c:v>27.771166011033255</c:v>
                </c:pt>
                <c:pt idx="705">
                  <c:v>27.771220074027816</c:v>
                </c:pt>
                <c:pt idx="706">
                  <c:v>27.771274136188801</c:v>
                </c:pt>
                <c:pt idx="707">
                  <c:v>27.771328197516233</c:v>
                </c:pt>
                <c:pt idx="708">
                  <c:v>27.771382258010146</c:v>
                </c:pt>
                <c:pt idx="709">
                  <c:v>27.771436317670563</c:v>
                </c:pt>
                <c:pt idx="710">
                  <c:v>27.771490376497464</c:v>
                </c:pt>
                <c:pt idx="711">
                  <c:v>27.771544434490853</c:v>
                </c:pt>
                <c:pt idx="712">
                  <c:v>27.771598491650753</c:v>
                </c:pt>
                <c:pt idx="713">
                  <c:v>27.77165254797719</c:v>
                </c:pt>
                <c:pt idx="714">
                  <c:v>27.771706603470147</c:v>
                </c:pt>
                <c:pt idx="715">
                  <c:v>27.771760658129651</c:v>
                </c:pt>
                <c:pt idx="716">
                  <c:v>27.771814711955692</c:v>
                </c:pt>
                <c:pt idx="717">
                  <c:v>27.771868764948312</c:v>
                </c:pt>
                <c:pt idx="718">
                  <c:v>27.771922817107498</c:v>
                </c:pt>
                <c:pt idx="719">
                  <c:v>27.771976868433267</c:v>
                </c:pt>
                <c:pt idx="720">
                  <c:v>27.772030918925619</c:v>
                </c:pt>
                <c:pt idx="721">
                  <c:v>27.772084968584593</c:v>
                </c:pt>
                <c:pt idx="722">
                  <c:v>27.772139017410154</c:v>
                </c:pt>
                <c:pt idx="723">
                  <c:v>27.772193065402348</c:v>
                </c:pt>
                <c:pt idx="724">
                  <c:v>27.772247112561189</c:v>
                </c:pt>
                <c:pt idx="725">
                  <c:v>27.772301158886652</c:v>
                </c:pt>
                <c:pt idx="726">
                  <c:v>27.772355204378769</c:v>
                </c:pt>
                <c:pt idx="727">
                  <c:v>27.772409249037533</c:v>
                </c:pt>
                <c:pt idx="728">
                  <c:v>27.772463292862991</c:v>
                </c:pt>
                <c:pt idx="729">
                  <c:v>27.77251733585511</c:v>
                </c:pt>
                <c:pt idx="730">
                  <c:v>27.772571378013943</c:v>
                </c:pt>
                <c:pt idx="731">
                  <c:v>27.772625419339462</c:v>
                </c:pt>
                <c:pt idx="732">
                  <c:v>27.772679459831679</c:v>
                </c:pt>
                <c:pt idx="733">
                  <c:v>27.772733499490638</c:v>
                </c:pt>
                <c:pt idx="734">
                  <c:v>27.772787538316312</c:v>
                </c:pt>
                <c:pt idx="735">
                  <c:v>27.77284157630875</c:v>
                </c:pt>
                <c:pt idx="736">
                  <c:v>27.772895613467917</c:v>
                </c:pt>
                <c:pt idx="737">
                  <c:v>27.772949649793848</c:v>
                </c:pt>
                <c:pt idx="738">
                  <c:v>27.773003685286547</c:v>
                </c:pt>
                <c:pt idx="739">
                  <c:v>27.773057719946035</c:v>
                </c:pt>
                <c:pt idx="740">
                  <c:v>27.773111753772309</c:v>
                </c:pt>
                <c:pt idx="741">
                  <c:v>27.773165786765386</c:v>
                </c:pt>
                <c:pt idx="742">
                  <c:v>27.773219818925277</c:v>
                </c:pt>
                <c:pt idx="743">
                  <c:v>27.773273850251989</c:v>
                </c:pt>
                <c:pt idx="744">
                  <c:v>27.773327880745526</c:v>
                </c:pt>
                <c:pt idx="745">
                  <c:v>27.773381910405888</c:v>
                </c:pt>
                <c:pt idx="746">
                  <c:v>27.773435939233121</c:v>
                </c:pt>
                <c:pt idx="747">
                  <c:v>27.77348996722721</c:v>
                </c:pt>
                <c:pt idx="748">
                  <c:v>27.773543994388177</c:v>
                </c:pt>
                <c:pt idx="749">
                  <c:v>27.773598020716012</c:v>
                </c:pt>
                <c:pt idx="750">
                  <c:v>27.773652046210735</c:v>
                </c:pt>
                <c:pt idx="751">
                  <c:v>27.773706070872358</c:v>
                </c:pt>
                <c:pt idx="752">
                  <c:v>27.773760094700897</c:v>
                </c:pt>
                <c:pt idx="753">
                  <c:v>27.773814117696364</c:v>
                </c:pt>
                <c:pt idx="754">
                  <c:v>27.773868139858749</c:v>
                </c:pt>
                <c:pt idx="755">
                  <c:v>27.773922161188075</c:v>
                </c:pt>
                <c:pt idx="756">
                  <c:v>27.773976181684354</c:v>
                </c:pt>
                <c:pt idx="757">
                  <c:v>27.7740302013476</c:v>
                </c:pt>
                <c:pt idx="758">
                  <c:v>27.774084220177805</c:v>
                </c:pt>
                <c:pt idx="759">
                  <c:v>27.774138238174981</c:v>
                </c:pt>
                <c:pt idx="760">
                  <c:v>27.774192255339159</c:v>
                </c:pt>
                <c:pt idx="761">
                  <c:v>27.774246271670336</c:v>
                </c:pt>
                <c:pt idx="762">
                  <c:v>27.774300287168519</c:v>
                </c:pt>
                <c:pt idx="763">
                  <c:v>27.774354301833728</c:v>
                </c:pt>
                <c:pt idx="764">
                  <c:v>27.774408315665962</c:v>
                </c:pt>
                <c:pt idx="765">
                  <c:v>27.774462328665233</c:v>
                </c:pt>
                <c:pt idx="766">
                  <c:v>27.774516340831553</c:v>
                </c:pt>
                <c:pt idx="767">
                  <c:v>27.77457035216494</c:v>
                </c:pt>
                <c:pt idx="768">
                  <c:v>27.774624362665385</c:v>
                </c:pt>
                <c:pt idx="769">
                  <c:v>27.774678372332918</c:v>
                </c:pt>
                <c:pt idx="770">
                  <c:v>27.774732381167542</c:v>
                </c:pt>
                <c:pt idx="771">
                  <c:v>27.774786389169254</c:v>
                </c:pt>
                <c:pt idx="772">
                  <c:v>27.774840396338085</c:v>
                </c:pt>
                <c:pt idx="773">
                  <c:v>27.77489440267404</c:v>
                </c:pt>
                <c:pt idx="774">
                  <c:v>27.774948408177114</c:v>
                </c:pt>
                <c:pt idx="775">
                  <c:v>27.775002412847321</c:v>
                </c:pt>
                <c:pt idx="776">
                  <c:v>27.775056416684691</c:v>
                </c:pt>
                <c:pt idx="777">
                  <c:v>27.775110419689213</c:v>
                </c:pt>
                <c:pt idx="778">
                  <c:v>27.775164421860904</c:v>
                </c:pt>
                <c:pt idx="779">
                  <c:v>27.775218423199775</c:v>
                </c:pt>
                <c:pt idx="780">
                  <c:v>27.77527242370585</c:v>
                </c:pt>
                <c:pt idx="781">
                  <c:v>27.775326423379099</c:v>
                </c:pt>
                <c:pt idx="782">
                  <c:v>27.775380422219563</c:v>
                </c:pt>
                <c:pt idx="783">
                  <c:v>27.775434420227253</c:v>
                </c:pt>
                <c:pt idx="784">
                  <c:v>27.775488417402162</c:v>
                </c:pt>
                <c:pt idx="785">
                  <c:v>27.775542413744315</c:v>
                </c:pt>
                <c:pt idx="786">
                  <c:v>27.775596409253716</c:v>
                </c:pt>
                <c:pt idx="787">
                  <c:v>27.775650403930385</c:v>
                </c:pt>
                <c:pt idx="788">
                  <c:v>27.775704397774312</c:v>
                </c:pt>
                <c:pt idx="789">
                  <c:v>27.775758390785523</c:v>
                </c:pt>
                <c:pt idx="790">
                  <c:v>27.77581238296402</c:v>
                </c:pt>
                <c:pt idx="791">
                  <c:v>27.775866374309803</c:v>
                </c:pt>
                <c:pt idx="792">
                  <c:v>27.775920364822916</c:v>
                </c:pt>
                <c:pt idx="793">
                  <c:v>27.77597435450334</c:v>
                </c:pt>
                <c:pt idx="794">
                  <c:v>27.776028343351086</c:v>
                </c:pt>
                <c:pt idx="795">
                  <c:v>27.77608233136618</c:v>
                </c:pt>
                <c:pt idx="796">
                  <c:v>27.776136318548605</c:v>
                </c:pt>
                <c:pt idx="797">
                  <c:v>27.776190304898392</c:v>
                </c:pt>
                <c:pt idx="798">
                  <c:v>27.776244290415569</c:v>
                </c:pt>
                <c:pt idx="799">
                  <c:v>27.776298275100114</c:v>
                </c:pt>
                <c:pt idx="800">
                  <c:v>27.776352258952024</c:v>
                </c:pt>
                <c:pt idx="801">
                  <c:v>27.776406241971358</c:v>
                </c:pt>
                <c:pt idx="802">
                  <c:v>27.7764602241581</c:v>
                </c:pt>
                <c:pt idx="803">
                  <c:v>27.776514205512242</c:v>
                </c:pt>
                <c:pt idx="804">
                  <c:v>27.77656818603382</c:v>
                </c:pt>
                <c:pt idx="805">
                  <c:v>27.776622165722831</c:v>
                </c:pt>
                <c:pt idx="806">
                  <c:v>27.776676144579302</c:v>
                </c:pt>
                <c:pt idx="807">
                  <c:v>27.776730122603222</c:v>
                </c:pt>
                <c:pt idx="808">
                  <c:v>27.776784099794618</c:v>
                </c:pt>
                <c:pt idx="809">
                  <c:v>27.776838076153474</c:v>
                </c:pt>
                <c:pt idx="810">
                  <c:v>27.776892051679837</c:v>
                </c:pt>
                <c:pt idx="811">
                  <c:v>27.776946026373679</c:v>
                </c:pt>
                <c:pt idx="812">
                  <c:v>27.777000000235038</c:v>
                </c:pt>
                <c:pt idx="813">
                  <c:v>27.777053973263929</c:v>
                </c:pt>
                <c:pt idx="814">
                  <c:v>27.777107945460326</c:v>
                </c:pt>
                <c:pt idx="815">
                  <c:v>27.777161916824276</c:v>
                </c:pt>
                <c:pt idx="816">
                  <c:v>27.777215887355755</c:v>
                </c:pt>
                <c:pt idx="817">
                  <c:v>27.777269857054804</c:v>
                </c:pt>
                <c:pt idx="818">
                  <c:v>27.777323825921407</c:v>
                </c:pt>
                <c:pt idx="819">
                  <c:v>27.777377793955608</c:v>
                </c:pt>
                <c:pt idx="820">
                  <c:v>27.777431761157381</c:v>
                </c:pt>
                <c:pt idx="821">
                  <c:v>27.777485727526745</c:v>
                </c:pt>
                <c:pt idx="822">
                  <c:v>27.777539693063737</c:v>
                </c:pt>
                <c:pt idx="823">
                  <c:v>27.777593657768346</c:v>
                </c:pt>
                <c:pt idx="824">
                  <c:v>27.777647621640568</c:v>
                </c:pt>
                <c:pt idx="825">
                  <c:v>27.77770158468044</c:v>
                </c:pt>
                <c:pt idx="826">
                  <c:v>27.777755546887946</c:v>
                </c:pt>
                <c:pt idx="827">
                  <c:v>27.7778095082631</c:v>
                </c:pt>
                <c:pt idx="828">
                  <c:v>27.777863468805933</c:v>
                </c:pt>
                <c:pt idx="829">
                  <c:v>27.777917428516432</c:v>
                </c:pt>
                <c:pt idx="830">
                  <c:v>27.77797138739464</c:v>
                </c:pt>
                <c:pt idx="831">
                  <c:v>27.778025345440533</c:v>
                </c:pt>
                <c:pt idx="832">
                  <c:v>27.778079302654135</c:v>
                </c:pt>
                <c:pt idx="833">
                  <c:v>27.778133259035446</c:v>
                </c:pt>
                <c:pt idx="834">
                  <c:v>27.778187214584502</c:v>
                </c:pt>
                <c:pt idx="835">
                  <c:v>27.778241169301275</c:v>
                </c:pt>
                <c:pt idx="836">
                  <c:v>27.778295123185803</c:v>
                </c:pt>
                <c:pt idx="837">
                  <c:v>27.778349076238094</c:v>
                </c:pt>
                <c:pt idx="838">
                  <c:v>27.778403028458133</c:v>
                </c:pt>
                <c:pt idx="839">
                  <c:v>27.778456979845956</c:v>
                </c:pt>
                <c:pt idx="840">
                  <c:v>27.778510930401559</c:v>
                </c:pt>
                <c:pt idx="841">
                  <c:v>27.778564880124975</c:v>
                </c:pt>
                <c:pt idx="842">
                  <c:v>27.778618829016185</c:v>
                </c:pt>
                <c:pt idx="843">
                  <c:v>27.778672777075219</c:v>
                </c:pt>
                <c:pt idx="844">
                  <c:v>27.778726724302071</c:v>
                </c:pt>
                <c:pt idx="845">
                  <c:v>27.778780670696772</c:v>
                </c:pt>
                <c:pt idx="846">
                  <c:v>27.778834616259296</c:v>
                </c:pt>
                <c:pt idx="847">
                  <c:v>27.778888560989703</c:v>
                </c:pt>
                <c:pt idx="848">
                  <c:v>27.778942504887954</c:v>
                </c:pt>
                <c:pt idx="849">
                  <c:v>27.778996447954093</c:v>
                </c:pt>
                <c:pt idx="850">
                  <c:v>27.779050390188122</c:v>
                </c:pt>
                <c:pt idx="851">
                  <c:v>27.779104331590023</c:v>
                </c:pt>
                <c:pt idx="852">
                  <c:v>27.779158272159854</c:v>
                </c:pt>
                <c:pt idx="853">
                  <c:v>27.779212211897597</c:v>
                </c:pt>
                <c:pt idx="854">
                  <c:v>27.779266150803252</c:v>
                </c:pt>
                <c:pt idx="855">
                  <c:v>27.779320088876855</c:v>
                </c:pt>
                <c:pt idx="856">
                  <c:v>27.779374026118383</c:v>
                </c:pt>
                <c:pt idx="857">
                  <c:v>27.779427962527897</c:v>
                </c:pt>
                <c:pt idx="858">
                  <c:v>27.779481898105356</c:v>
                </c:pt>
                <c:pt idx="859">
                  <c:v>27.779535832850783</c:v>
                </c:pt>
                <c:pt idx="860">
                  <c:v>27.779589766764222</c:v>
                </c:pt>
                <c:pt idx="861">
                  <c:v>27.779643699845646</c:v>
                </c:pt>
                <c:pt idx="862">
                  <c:v>27.779697632095072</c:v>
                </c:pt>
                <c:pt idx="863">
                  <c:v>27.779751563512512</c:v>
                </c:pt>
                <c:pt idx="864">
                  <c:v>27.779805494097971</c:v>
                </c:pt>
                <c:pt idx="865">
                  <c:v>27.77985942385147</c:v>
                </c:pt>
                <c:pt idx="866">
                  <c:v>27.779913352773015</c:v>
                </c:pt>
                <c:pt idx="867">
                  <c:v>27.779967280862621</c:v>
                </c:pt>
                <c:pt idx="868">
                  <c:v>27.780021208120282</c:v>
                </c:pt>
                <c:pt idx="869">
                  <c:v>27.780075134546038</c:v>
                </c:pt>
                <c:pt idx="870">
                  <c:v>27.78012906013986</c:v>
                </c:pt>
                <c:pt idx="871">
                  <c:v>27.780182984901774</c:v>
                </c:pt>
                <c:pt idx="872">
                  <c:v>27.780236908831796</c:v>
                </c:pt>
                <c:pt idx="873">
                  <c:v>27.780290831929939</c:v>
                </c:pt>
                <c:pt idx="874">
                  <c:v>27.780344754196204</c:v>
                </c:pt>
                <c:pt idx="875">
                  <c:v>27.7803986756306</c:v>
                </c:pt>
                <c:pt idx="876">
                  <c:v>27.78045259623314</c:v>
                </c:pt>
                <c:pt idx="877">
                  <c:v>27.780506516003847</c:v>
                </c:pt>
                <c:pt idx="878">
                  <c:v>27.780560434942696</c:v>
                </c:pt>
                <c:pt idx="879">
                  <c:v>27.780614353049742</c:v>
                </c:pt>
                <c:pt idx="880">
                  <c:v>27.780668270324959</c:v>
                </c:pt>
                <c:pt idx="881">
                  <c:v>27.780722186768376</c:v>
                </c:pt>
                <c:pt idx="882">
                  <c:v>27.780776102379985</c:v>
                </c:pt>
                <c:pt idx="883">
                  <c:v>27.780830017159833</c:v>
                </c:pt>
                <c:pt idx="884">
                  <c:v>27.780883931107876</c:v>
                </c:pt>
                <c:pt idx="885">
                  <c:v>27.780937844224166</c:v>
                </c:pt>
                <c:pt idx="886">
                  <c:v>27.780991756508708</c:v>
                </c:pt>
                <c:pt idx="887">
                  <c:v>27.781045667961507</c:v>
                </c:pt>
                <c:pt idx="888">
                  <c:v>27.781099578582559</c:v>
                </c:pt>
                <c:pt idx="889">
                  <c:v>27.781153488371881</c:v>
                </c:pt>
                <c:pt idx="890">
                  <c:v>27.781207397329496</c:v>
                </c:pt>
                <c:pt idx="891">
                  <c:v>27.781261305455388</c:v>
                </c:pt>
                <c:pt idx="892">
                  <c:v>27.781315212749604</c:v>
                </c:pt>
                <c:pt idx="893">
                  <c:v>27.78136911921214</c:v>
                </c:pt>
                <c:pt idx="894">
                  <c:v>27.78142302484299</c:v>
                </c:pt>
                <c:pt idx="895">
                  <c:v>27.781476929642167</c:v>
                </c:pt>
                <c:pt idx="896">
                  <c:v>27.781530833609686</c:v>
                </c:pt>
                <c:pt idx="897">
                  <c:v>27.781584736745575</c:v>
                </c:pt>
                <c:pt idx="898">
                  <c:v>27.781638639049817</c:v>
                </c:pt>
                <c:pt idx="899">
                  <c:v>27.781692540522425</c:v>
                </c:pt>
                <c:pt idx="900">
                  <c:v>27.781746441163417</c:v>
                </c:pt>
                <c:pt idx="901">
                  <c:v>27.781800340972811</c:v>
                </c:pt>
                <c:pt idx="902">
                  <c:v>27.781854239950604</c:v>
                </c:pt>
                <c:pt idx="903">
                  <c:v>27.781908138096821</c:v>
                </c:pt>
                <c:pt idx="904">
                  <c:v>27.781962035411453</c:v>
                </c:pt>
                <c:pt idx="905">
                  <c:v>27.782015931894513</c:v>
                </c:pt>
                <c:pt idx="906">
                  <c:v>27.782069827546017</c:v>
                </c:pt>
                <c:pt idx="907">
                  <c:v>27.782123722365988</c:v>
                </c:pt>
                <c:pt idx="908">
                  <c:v>27.782177616354414</c:v>
                </c:pt>
                <c:pt idx="909">
                  <c:v>27.782231509511313</c:v>
                </c:pt>
                <c:pt idx="910">
                  <c:v>27.782285401836688</c:v>
                </c:pt>
                <c:pt idx="911">
                  <c:v>27.782339293330558</c:v>
                </c:pt>
                <c:pt idx="912">
                  <c:v>27.782393183992927</c:v>
                </c:pt>
                <c:pt idx="913">
                  <c:v>27.782447073823818</c:v>
                </c:pt>
                <c:pt idx="914">
                  <c:v>27.782500962823228</c:v>
                </c:pt>
                <c:pt idx="915">
                  <c:v>27.782554850991175</c:v>
                </c:pt>
                <c:pt idx="916">
                  <c:v>27.782608738327664</c:v>
                </c:pt>
                <c:pt idx="917">
                  <c:v>27.782662624832703</c:v>
                </c:pt>
                <c:pt idx="918">
                  <c:v>27.782716510506308</c:v>
                </c:pt>
                <c:pt idx="919">
                  <c:v>27.782770395348486</c:v>
                </c:pt>
                <c:pt idx="920">
                  <c:v>27.782824279359236</c:v>
                </c:pt>
                <c:pt idx="921">
                  <c:v>27.782878162538594</c:v>
                </c:pt>
                <c:pt idx="922">
                  <c:v>27.782932044886536</c:v>
                </c:pt>
                <c:pt idx="923">
                  <c:v>27.7829859264031</c:v>
                </c:pt>
                <c:pt idx="924">
                  <c:v>27.78303980708829</c:v>
                </c:pt>
                <c:pt idx="925">
                  <c:v>27.783093686942095</c:v>
                </c:pt>
                <c:pt idx="926">
                  <c:v>27.783147565964565</c:v>
                </c:pt>
                <c:pt idx="927">
                  <c:v>27.783201444155672</c:v>
                </c:pt>
                <c:pt idx="928">
                  <c:v>27.783255321515451</c:v>
                </c:pt>
                <c:pt idx="929">
                  <c:v>27.783309198043899</c:v>
                </c:pt>
                <c:pt idx="930">
                  <c:v>27.783363073741018</c:v>
                </c:pt>
                <c:pt idx="931">
                  <c:v>27.783416948606845</c:v>
                </c:pt>
                <c:pt idx="932">
                  <c:v>27.78347082264137</c:v>
                </c:pt>
                <c:pt idx="933">
                  <c:v>27.783524695844598</c:v>
                </c:pt>
                <c:pt idx="934">
                  <c:v>27.783578568216551</c:v>
                </c:pt>
                <c:pt idx="935">
                  <c:v>27.783632439757238</c:v>
                </c:pt>
                <c:pt idx="936">
                  <c:v>27.783686310466674</c:v>
                </c:pt>
                <c:pt idx="937">
                  <c:v>27.783740180344846</c:v>
                </c:pt>
                <c:pt idx="938">
                  <c:v>27.783794049391791</c:v>
                </c:pt>
                <c:pt idx="939">
                  <c:v>27.783847917607517</c:v>
                </c:pt>
                <c:pt idx="940">
                  <c:v>27.783901784992011</c:v>
                </c:pt>
                <c:pt idx="941">
                  <c:v>27.783955651545295</c:v>
                </c:pt>
                <c:pt idx="942">
                  <c:v>27.784009517267382</c:v>
                </c:pt>
                <c:pt idx="943">
                  <c:v>27.78406338215828</c:v>
                </c:pt>
                <c:pt idx="944">
                  <c:v>27.784117246218003</c:v>
                </c:pt>
                <c:pt idx="945">
                  <c:v>27.784171109446554</c:v>
                </c:pt>
                <c:pt idx="946">
                  <c:v>27.784224971843955</c:v>
                </c:pt>
                <c:pt idx="947">
                  <c:v>27.784278833410195</c:v>
                </c:pt>
                <c:pt idx="948">
                  <c:v>27.784332694145295</c:v>
                </c:pt>
                <c:pt idx="949">
                  <c:v>27.784386554049288</c:v>
                </c:pt>
                <c:pt idx="950">
                  <c:v>27.784440413122134</c:v>
                </c:pt>
                <c:pt idx="951">
                  <c:v>27.78449427136389</c:v>
                </c:pt>
                <c:pt idx="952">
                  <c:v>27.784548128774528</c:v>
                </c:pt>
                <c:pt idx="953">
                  <c:v>27.784601985354101</c:v>
                </c:pt>
                <c:pt idx="954">
                  <c:v>27.784655841102577</c:v>
                </c:pt>
                <c:pt idx="955">
                  <c:v>27.784709696019984</c:v>
                </c:pt>
                <c:pt idx="956">
                  <c:v>27.784763550106337</c:v>
                </c:pt>
                <c:pt idx="957">
                  <c:v>27.78481740336165</c:v>
                </c:pt>
                <c:pt idx="958">
                  <c:v>27.784871255785898</c:v>
                </c:pt>
                <c:pt idx="959">
                  <c:v>27.784925107379134</c:v>
                </c:pt>
                <c:pt idx="960">
                  <c:v>27.784978958141355</c:v>
                </c:pt>
                <c:pt idx="961">
                  <c:v>27.785032808072557</c:v>
                </c:pt>
                <c:pt idx="962">
                  <c:v>27.785086657172773</c:v>
                </c:pt>
                <c:pt idx="963">
                  <c:v>27.785140505441976</c:v>
                </c:pt>
                <c:pt idx="964">
                  <c:v>27.785194352880211</c:v>
                </c:pt>
                <c:pt idx="965">
                  <c:v>27.785248199487473</c:v>
                </c:pt>
                <c:pt idx="966">
                  <c:v>27.785302045263787</c:v>
                </c:pt>
                <c:pt idx="967">
                  <c:v>27.785355890209143</c:v>
                </c:pt>
                <c:pt idx="968">
                  <c:v>27.785409734323569</c:v>
                </c:pt>
                <c:pt idx="969">
                  <c:v>27.785463577607054</c:v>
                </c:pt>
                <c:pt idx="970">
                  <c:v>27.78551742005962</c:v>
                </c:pt>
                <c:pt idx="971">
                  <c:v>27.785571261681273</c:v>
                </c:pt>
                <c:pt idx="972">
                  <c:v>27.785625102472032</c:v>
                </c:pt>
                <c:pt idx="973">
                  <c:v>27.7856789424319</c:v>
                </c:pt>
                <c:pt idx="974">
                  <c:v>27.785732781560881</c:v>
                </c:pt>
                <c:pt idx="975">
                  <c:v>27.785786619859007</c:v>
                </c:pt>
                <c:pt idx="976">
                  <c:v>27.785840457326255</c:v>
                </c:pt>
                <c:pt idx="977">
                  <c:v>27.785894293962652</c:v>
                </c:pt>
                <c:pt idx="978">
                  <c:v>27.785948129768222</c:v>
                </c:pt>
                <c:pt idx="979">
                  <c:v>27.786001964742951</c:v>
                </c:pt>
                <c:pt idx="980">
                  <c:v>27.786055798886863</c:v>
                </c:pt>
                <c:pt idx="981">
                  <c:v>27.786109632199967</c:v>
                </c:pt>
                <c:pt idx="982">
                  <c:v>27.786163464682268</c:v>
                </c:pt>
                <c:pt idx="983">
                  <c:v>27.786217296333778</c:v>
                </c:pt>
                <c:pt idx="984">
                  <c:v>27.78627112715451</c:v>
                </c:pt>
                <c:pt idx="985">
                  <c:v>27.786324957144462</c:v>
                </c:pt>
                <c:pt idx="986">
                  <c:v>27.786378786303665</c:v>
                </c:pt>
                <c:pt idx="987">
                  <c:v>27.786432614632123</c:v>
                </c:pt>
                <c:pt idx="988">
                  <c:v>27.786486442129831</c:v>
                </c:pt>
                <c:pt idx="989">
                  <c:v>27.786540268796809</c:v>
                </c:pt>
                <c:pt idx="990">
                  <c:v>27.78659409463307</c:v>
                </c:pt>
                <c:pt idx="991">
                  <c:v>27.786647919638611</c:v>
                </c:pt>
                <c:pt idx="992">
                  <c:v>27.786701743813435</c:v>
                </c:pt>
                <c:pt idx="993">
                  <c:v>27.786755567157595</c:v>
                </c:pt>
                <c:pt idx="994">
                  <c:v>27.78680938967107</c:v>
                </c:pt>
                <c:pt idx="995">
                  <c:v>27.786863211353865</c:v>
                </c:pt>
                <c:pt idx="996">
                  <c:v>27.786917032206016</c:v>
                </c:pt>
                <c:pt idx="997">
                  <c:v>27.78697085222748</c:v>
                </c:pt>
                <c:pt idx="998">
                  <c:v>27.78702467141834</c:v>
                </c:pt>
                <c:pt idx="999">
                  <c:v>27.787078489778541</c:v>
                </c:pt>
                <c:pt idx="1000">
                  <c:v>27.787132307308141</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35.100000000000186</c:v>
                </c:pt>
                <c:pt idx="500">
                  <c:v>35.200000000000188</c:v>
                </c:pt>
                <c:pt idx="501">
                  <c:v>35.300000000000189</c:v>
                </c:pt>
                <c:pt idx="502">
                  <c:v>35.40000000000019</c:v>
                </c:pt>
                <c:pt idx="503">
                  <c:v>35.500000000000192</c:v>
                </c:pt>
                <c:pt idx="504">
                  <c:v>35.600000000000193</c:v>
                </c:pt>
                <c:pt idx="505">
                  <c:v>35.700000000000195</c:v>
                </c:pt>
                <c:pt idx="506">
                  <c:v>35.800000000000196</c:v>
                </c:pt>
                <c:pt idx="507">
                  <c:v>35.900000000000198</c:v>
                </c:pt>
                <c:pt idx="508">
                  <c:v>36.000000000000199</c:v>
                </c:pt>
                <c:pt idx="509">
                  <c:v>36.1000000000002</c:v>
                </c:pt>
                <c:pt idx="510">
                  <c:v>36.200000000000202</c:v>
                </c:pt>
                <c:pt idx="511">
                  <c:v>36.300000000000203</c:v>
                </c:pt>
                <c:pt idx="512">
                  <c:v>36.400000000000205</c:v>
                </c:pt>
                <c:pt idx="513">
                  <c:v>36.500000000000206</c:v>
                </c:pt>
                <c:pt idx="514">
                  <c:v>36.600000000000207</c:v>
                </c:pt>
                <c:pt idx="515">
                  <c:v>36.700000000000209</c:v>
                </c:pt>
                <c:pt idx="516">
                  <c:v>36.80000000000021</c:v>
                </c:pt>
                <c:pt idx="517">
                  <c:v>36.800100000000214</c:v>
                </c:pt>
                <c:pt idx="518">
                  <c:v>36.800200000000217</c:v>
                </c:pt>
                <c:pt idx="519">
                  <c:v>36.80030000000022</c:v>
                </c:pt>
                <c:pt idx="520">
                  <c:v>36.800400000000224</c:v>
                </c:pt>
                <c:pt idx="521">
                  <c:v>36.800500000000227</c:v>
                </c:pt>
                <c:pt idx="522">
                  <c:v>36.80060000000023</c:v>
                </c:pt>
                <c:pt idx="523">
                  <c:v>36.800700000000234</c:v>
                </c:pt>
                <c:pt idx="524">
                  <c:v>36.800800000000237</c:v>
                </c:pt>
                <c:pt idx="525">
                  <c:v>36.80090000000024</c:v>
                </c:pt>
                <c:pt idx="526">
                  <c:v>36.801000000000244</c:v>
                </c:pt>
                <c:pt idx="527">
                  <c:v>36.801100000000247</c:v>
                </c:pt>
                <c:pt idx="528">
                  <c:v>36.80120000000025</c:v>
                </c:pt>
                <c:pt idx="529">
                  <c:v>36.801300000000253</c:v>
                </c:pt>
                <c:pt idx="530">
                  <c:v>36.801400000000257</c:v>
                </c:pt>
                <c:pt idx="531">
                  <c:v>36.80150000000026</c:v>
                </c:pt>
                <c:pt idx="532">
                  <c:v>36.801600000000263</c:v>
                </c:pt>
                <c:pt idx="533">
                  <c:v>36.801700000000267</c:v>
                </c:pt>
                <c:pt idx="534">
                  <c:v>36.80180000000027</c:v>
                </c:pt>
                <c:pt idx="535">
                  <c:v>36.801900000000273</c:v>
                </c:pt>
                <c:pt idx="536">
                  <c:v>36.802000000000277</c:v>
                </c:pt>
                <c:pt idx="537">
                  <c:v>36.80210000000028</c:v>
                </c:pt>
                <c:pt idx="538">
                  <c:v>36.802200000000283</c:v>
                </c:pt>
                <c:pt idx="539">
                  <c:v>36.802300000000287</c:v>
                </c:pt>
                <c:pt idx="540">
                  <c:v>36.80240000000029</c:v>
                </c:pt>
                <c:pt idx="541">
                  <c:v>36.802500000000293</c:v>
                </c:pt>
                <c:pt idx="542">
                  <c:v>36.802600000000297</c:v>
                </c:pt>
                <c:pt idx="543">
                  <c:v>36.8027000000003</c:v>
                </c:pt>
                <c:pt idx="544">
                  <c:v>36.802800000000303</c:v>
                </c:pt>
                <c:pt idx="545">
                  <c:v>36.802900000000307</c:v>
                </c:pt>
                <c:pt idx="546">
                  <c:v>36.80300000000031</c:v>
                </c:pt>
                <c:pt idx="547">
                  <c:v>36.803100000000313</c:v>
                </c:pt>
                <c:pt idx="548">
                  <c:v>36.803200000000317</c:v>
                </c:pt>
                <c:pt idx="549">
                  <c:v>36.80330000000032</c:v>
                </c:pt>
                <c:pt idx="550">
                  <c:v>36.803400000000323</c:v>
                </c:pt>
                <c:pt idx="551">
                  <c:v>36.803500000000327</c:v>
                </c:pt>
                <c:pt idx="552">
                  <c:v>36.80360000000033</c:v>
                </c:pt>
                <c:pt idx="553">
                  <c:v>36.803700000000333</c:v>
                </c:pt>
                <c:pt idx="554">
                  <c:v>36.803800000000336</c:v>
                </c:pt>
                <c:pt idx="555">
                  <c:v>36.80390000000034</c:v>
                </c:pt>
                <c:pt idx="556">
                  <c:v>36.804000000000343</c:v>
                </c:pt>
                <c:pt idx="557">
                  <c:v>36.804100000000346</c:v>
                </c:pt>
                <c:pt idx="558">
                  <c:v>36.80420000000035</c:v>
                </c:pt>
                <c:pt idx="559">
                  <c:v>36.804300000000353</c:v>
                </c:pt>
                <c:pt idx="560">
                  <c:v>36.804400000000356</c:v>
                </c:pt>
                <c:pt idx="561">
                  <c:v>36.80450000000036</c:v>
                </c:pt>
                <c:pt idx="562">
                  <c:v>36.804600000000363</c:v>
                </c:pt>
                <c:pt idx="563">
                  <c:v>36.804700000000366</c:v>
                </c:pt>
                <c:pt idx="564">
                  <c:v>36.80480000000037</c:v>
                </c:pt>
                <c:pt idx="565">
                  <c:v>36.804900000000373</c:v>
                </c:pt>
                <c:pt idx="566">
                  <c:v>36.805000000000376</c:v>
                </c:pt>
                <c:pt idx="567">
                  <c:v>36.80510000000038</c:v>
                </c:pt>
                <c:pt idx="568">
                  <c:v>36.805200000000383</c:v>
                </c:pt>
                <c:pt idx="569">
                  <c:v>36.805300000000386</c:v>
                </c:pt>
                <c:pt idx="570">
                  <c:v>36.80540000000039</c:v>
                </c:pt>
                <c:pt idx="571">
                  <c:v>36.805500000000393</c:v>
                </c:pt>
                <c:pt idx="572">
                  <c:v>36.805600000000396</c:v>
                </c:pt>
                <c:pt idx="573">
                  <c:v>36.8057000000004</c:v>
                </c:pt>
                <c:pt idx="574">
                  <c:v>36.805800000000403</c:v>
                </c:pt>
                <c:pt idx="575">
                  <c:v>36.805900000000406</c:v>
                </c:pt>
                <c:pt idx="576">
                  <c:v>36.806000000000409</c:v>
                </c:pt>
                <c:pt idx="577">
                  <c:v>36.806100000000413</c:v>
                </c:pt>
                <c:pt idx="578">
                  <c:v>36.806200000000416</c:v>
                </c:pt>
                <c:pt idx="579">
                  <c:v>36.806300000000419</c:v>
                </c:pt>
                <c:pt idx="580">
                  <c:v>36.806400000000423</c:v>
                </c:pt>
                <c:pt idx="581">
                  <c:v>36.806500000000426</c:v>
                </c:pt>
                <c:pt idx="582">
                  <c:v>36.806600000000429</c:v>
                </c:pt>
                <c:pt idx="583">
                  <c:v>36.806700000000433</c:v>
                </c:pt>
                <c:pt idx="584">
                  <c:v>36.806800000000436</c:v>
                </c:pt>
                <c:pt idx="585">
                  <c:v>36.806900000000439</c:v>
                </c:pt>
                <c:pt idx="586">
                  <c:v>36.807000000000443</c:v>
                </c:pt>
                <c:pt idx="587">
                  <c:v>36.807100000000446</c:v>
                </c:pt>
                <c:pt idx="588">
                  <c:v>36.807200000000449</c:v>
                </c:pt>
                <c:pt idx="589">
                  <c:v>36.807300000000453</c:v>
                </c:pt>
                <c:pt idx="590">
                  <c:v>36.807400000000456</c:v>
                </c:pt>
                <c:pt idx="591">
                  <c:v>36.807500000000459</c:v>
                </c:pt>
                <c:pt idx="592">
                  <c:v>36.807600000000463</c:v>
                </c:pt>
                <c:pt idx="593">
                  <c:v>36.807700000000466</c:v>
                </c:pt>
                <c:pt idx="594">
                  <c:v>36.807800000000469</c:v>
                </c:pt>
                <c:pt idx="595">
                  <c:v>36.807900000000473</c:v>
                </c:pt>
                <c:pt idx="596">
                  <c:v>36.808000000000476</c:v>
                </c:pt>
                <c:pt idx="597">
                  <c:v>36.808100000000479</c:v>
                </c:pt>
                <c:pt idx="598">
                  <c:v>36.808200000000483</c:v>
                </c:pt>
                <c:pt idx="599">
                  <c:v>36.808300000000486</c:v>
                </c:pt>
                <c:pt idx="600">
                  <c:v>36.808400000000489</c:v>
                </c:pt>
                <c:pt idx="601">
                  <c:v>36.808500000000492</c:v>
                </c:pt>
                <c:pt idx="602">
                  <c:v>36.808600000000496</c:v>
                </c:pt>
                <c:pt idx="603">
                  <c:v>36.808700000000499</c:v>
                </c:pt>
                <c:pt idx="604">
                  <c:v>36.808800000000502</c:v>
                </c:pt>
                <c:pt idx="605">
                  <c:v>36.808900000000506</c:v>
                </c:pt>
                <c:pt idx="606">
                  <c:v>36.809000000000509</c:v>
                </c:pt>
                <c:pt idx="607">
                  <c:v>36.809100000000512</c:v>
                </c:pt>
                <c:pt idx="608">
                  <c:v>36.809200000000516</c:v>
                </c:pt>
                <c:pt idx="609">
                  <c:v>36.809300000000519</c:v>
                </c:pt>
                <c:pt idx="610">
                  <c:v>36.809400000000522</c:v>
                </c:pt>
                <c:pt idx="611">
                  <c:v>36.809500000000526</c:v>
                </c:pt>
                <c:pt idx="612">
                  <c:v>36.809600000000529</c:v>
                </c:pt>
                <c:pt idx="613">
                  <c:v>36.809700000000532</c:v>
                </c:pt>
                <c:pt idx="614">
                  <c:v>36.809800000000536</c:v>
                </c:pt>
                <c:pt idx="615">
                  <c:v>36.809900000000539</c:v>
                </c:pt>
                <c:pt idx="616">
                  <c:v>36.810000000000542</c:v>
                </c:pt>
                <c:pt idx="617">
                  <c:v>36.810100000000546</c:v>
                </c:pt>
                <c:pt idx="618">
                  <c:v>36.810200000000549</c:v>
                </c:pt>
                <c:pt idx="619">
                  <c:v>36.810300000000552</c:v>
                </c:pt>
                <c:pt idx="620">
                  <c:v>36.810400000000556</c:v>
                </c:pt>
                <c:pt idx="621">
                  <c:v>36.810500000000559</c:v>
                </c:pt>
                <c:pt idx="622">
                  <c:v>36.810600000000562</c:v>
                </c:pt>
                <c:pt idx="623">
                  <c:v>36.810700000000566</c:v>
                </c:pt>
                <c:pt idx="624">
                  <c:v>36.810800000000569</c:v>
                </c:pt>
                <c:pt idx="625">
                  <c:v>36.810900000000572</c:v>
                </c:pt>
                <c:pt idx="626">
                  <c:v>36.811000000000575</c:v>
                </c:pt>
                <c:pt idx="627">
                  <c:v>36.811100000000579</c:v>
                </c:pt>
                <c:pt idx="628">
                  <c:v>36.811200000000582</c:v>
                </c:pt>
                <c:pt idx="629">
                  <c:v>36.811300000000585</c:v>
                </c:pt>
                <c:pt idx="630">
                  <c:v>36.811400000000589</c:v>
                </c:pt>
                <c:pt idx="631">
                  <c:v>36.811500000000592</c:v>
                </c:pt>
                <c:pt idx="632">
                  <c:v>36.811600000000595</c:v>
                </c:pt>
                <c:pt idx="633">
                  <c:v>36.811700000000599</c:v>
                </c:pt>
                <c:pt idx="634">
                  <c:v>36.811800000000602</c:v>
                </c:pt>
                <c:pt idx="635">
                  <c:v>36.811900000000605</c:v>
                </c:pt>
                <c:pt idx="636">
                  <c:v>36.812000000000609</c:v>
                </c:pt>
                <c:pt idx="637">
                  <c:v>36.812100000000612</c:v>
                </c:pt>
                <c:pt idx="638">
                  <c:v>36.812200000000615</c:v>
                </c:pt>
                <c:pt idx="639">
                  <c:v>36.812300000000619</c:v>
                </c:pt>
                <c:pt idx="640">
                  <c:v>36.812400000000622</c:v>
                </c:pt>
                <c:pt idx="641">
                  <c:v>36.812500000000625</c:v>
                </c:pt>
                <c:pt idx="642">
                  <c:v>36.812600000000629</c:v>
                </c:pt>
                <c:pt idx="643">
                  <c:v>36.812700000000632</c:v>
                </c:pt>
                <c:pt idx="644">
                  <c:v>36.812800000000635</c:v>
                </c:pt>
                <c:pt idx="645">
                  <c:v>36.812900000000639</c:v>
                </c:pt>
                <c:pt idx="646">
                  <c:v>36.813000000000642</c:v>
                </c:pt>
                <c:pt idx="647">
                  <c:v>36.813100000000645</c:v>
                </c:pt>
                <c:pt idx="648">
                  <c:v>36.813200000000649</c:v>
                </c:pt>
                <c:pt idx="649">
                  <c:v>36.813300000000652</c:v>
                </c:pt>
                <c:pt idx="650">
                  <c:v>36.813400000000655</c:v>
                </c:pt>
                <c:pt idx="651">
                  <c:v>36.813500000000658</c:v>
                </c:pt>
                <c:pt idx="652">
                  <c:v>36.813600000000662</c:v>
                </c:pt>
                <c:pt idx="653">
                  <c:v>36.813700000000665</c:v>
                </c:pt>
                <c:pt idx="654">
                  <c:v>36.813800000000668</c:v>
                </c:pt>
                <c:pt idx="655">
                  <c:v>36.813900000000672</c:v>
                </c:pt>
                <c:pt idx="656">
                  <c:v>36.814000000000675</c:v>
                </c:pt>
                <c:pt idx="657">
                  <c:v>36.814100000000678</c:v>
                </c:pt>
                <c:pt idx="658">
                  <c:v>36.814200000000682</c:v>
                </c:pt>
                <c:pt idx="659">
                  <c:v>36.814300000000685</c:v>
                </c:pt>
                <c:pt idx="660">
                  <c:v>36.814400000000688</c:v>
                </c:pt>
                <c:pt idx="661">
                  <c:v>36.814500000000692</c:v>
                </c:pt>
                <c:pt idx="662">
                  <c:v>36.814600000000695</c:v>
                </c:pt>
                <c:pt idx="663">
                  <c:v>36.814700000000698</c:v>
                </c:pt>
                <c:pt idx="664">
                  <c:v>36.814800000000702</c:v>
                </c:pt>
                <c:pt idx="665">
                  <c:v>36.814900000000705</c:v>
                </c:pt>
                <c:pt idx="666">
                  <c:v>36.815000000000708</c:v>
                </c:pt>
                <c:pt idx="667">
                  <c:v>36.815100000000712</c:v>
                </c:pt>
                <c:pt idx="668">
                  <c:v>36.815200000000715</c:v>
                </c:pt>
                <c:pt idx="669">
                  <c:v>36.815300000000718</c:v>
                </c:pt>
                <c:pt idx="670">
                  <c:v>36.815400000000722</c:v>
                </c:pt>
                <c:pt idx="671">
                  <c:v>36.815500000000725</c:v>
                </c:pt>
                <c:pt idx="672">
                  <c:v>36.815600000000728</c:v>
                </c:pt>
                <c:pt idx="673">
                  <c:v>36.815700000000732</c:v>
                </c:pt>
                <c:pt idx="674">
                  <c:v>36.815800000000735</c:v>
                </c:pt>
                <c:pt idx="675">
                  <c:v>36.815900000000738</c:v>
                </c:pt>
                <c:pt idx="676">
                  <c:v>36.816000000000741</c:v>
                </c:pt>
                <c:pt idx="677">
                  <c:v>36.816100000000745</c:v>
                </c:pt>
                <c:pt idx="678">
                  <c:v>36.816200000000748</c:v>
                </c:pt>
                <c:pt idx="679">
                  <c:v>36.816300000000751</c:v>
                </c:pt>
                <c:pt idx="680">
                  <c:v>36.816400000000755</c:v>
                </c:pt>
                <c:pt idx="681">
                  <c:v>36.816500000000758</c:v>
                </c:pt>
                <c:pt idx="682">
                  <c:v>36.816600000000761</c:v>
                </c:pt>
                <c:pt idx="683">
                  <c:v>36.816700000000765</c:v>
                </c:pt>
                <c:pt idx="684">
                  <c:v>36.816800000000768</c:v>
                </c:pt>
                <c:pt idx="685">
                  <c:v>36.816900000000771</c:v>
                </c:pt>
                <c:pt idx="686">
                  <c:v>36.817000000000775</c:v>
                </c:pt>
                <c:pt idx="687">
                  <c:v>36.817100000000778</c:v>
                </c:pt>
                <c:pt idx="688">
                  <c:v>36.817200000000781</c:v>
                </c:pt>
                <c:pt idx="689">
                  <c:v>36.817300000000785</c:v>
                </c:pt>
                <c:pt idx="690">
                  <c:v>36.817400000000788</c:v>
                </c:pt>
                <c:pt idx="691">
                  <c:v>36.817500000000791</c:v>
                </c:pt>
                <c:pt idx="692">
                  <c:v>36.817600000000795</c:v>
                </c:pt>
                <c:pt idx="693">
                  <c:v>36.817700000000798</c:v>
                </c:pt>
                <c:pt idx="694">
                  <c:v>36.817800000000801</c:v>
                </c:pt>
                <c:pt idx="695">
                  <c:v>36.817900000000805</c:v>
                </c:pt>
                <c:pt idx="696">
                  <c:v>36.818000000000808</c:v>
                </c:pt>
                <c:pt idx="697">
                  <c:v>36.818100000000811</c:v>
                </c:pt>
                <c:pt idx="698">
                  <c:v>36.818200000000814</c:v>
                </c:pt>
                <c:pt idx="699">
                  <c:v>36.818300000000818</c:v>
                </c:pt>
                <c:pt idx="700">
                  <c:v>36.818400000000821</c:v>
                </c:pt>
                <c:pt idx="701">
                  <c:v>36.818500000000824</c:v>
                </c:pt>
                <c:pt idx="702">
                  <c:v>36.818600000000828</c:v>
                </c:pt>
                <c:pt idx="703">
                  <c:v>36.818700000000831</c:v>
                </c:pt>
                <c:pt idx="704">
                  <c:v>36.818800000000834</c:v>
                </c:pt>
                <c:pt idx="705">
                  <c:v>36.818900000000838</c:v>
                </c:pt>
                <c:pt idx="706">
                  <c:v>36.819000000000841</c:v>
                </c:pt>
                <c:pt idx="707">
                  <c:v>36.819100000000844</c:v>
                </c:pt>
                <c:pt idx="708">
                  <c:v>36.819200000000848</c:v>
                </c:pt>
                <c:pt idx="709">
                  <c:v>36.819300000000851</c:v>
                </c:pt>
                <c:pt idx="710">
                  <c:v>36.819400000000854</c:v>
                </c:pt>
                <c:pt idx="711">
                  <c:v>36.819500000000858</c:v>
                </c:pt>
                <c:pt idx="712">
                  <c:v>36.819600000000861</c:v>
                </c:pt>
                <c:pt idx="713">
                  <c:v>36.819700000000864</c:v>
                </c:pt>
                <c:pt idx="714">
                  <c:v>36.819800000000868</c:v>
                </c:pt>
                <c:pt idx="715">
                  <c:v>36.819900000000871</c:v>
                </c:pt>
                <c:pt idx="716">
                  <c:v>36.820000000000874</c:v>
                </c:pt>
                <c:pt idx="717">
                  <c:v>36.820100000000878</c:v>
                </c:pt>
                <c:pt idx="718">
                  <c:v>36.820200000000881</c:v>
                </c:pt>
                <c:pt idx="719">
                  <c:v>36.820300000000884</c:v>
                </c:pt>
                <c:pt idx="720">
                  <c:v>36.820400000000888</c:v>
                </c:pt>
                <c:pt idx="721">
                  <c:v>36.820500000000891</c:v>
                </c:pt>
                <c:pt idx="722">
                  <c:v>36.820600000000894</c:v>
                </c:pt>
                <c:pt idx="723">
                  <c:v>36.820700000000897</c:v>
                </c:pt>
                <c:pt idx="724">
                  <c:v>36.820800000000901</c:v>
                </c:pt>
                <c:pt idx="725">
                  <c:v>36.820900000000904</c:v>
                </c:pt>
                <c:pt idx="726">
                  <c:v>36.821000000000907</c:v>
                </c:pt>
                <c:pt idx="727">
                  <c:v>36.821100000000911</c:v>
                </c:pt>
                <c:pt idx="728">
                  <c:v>36.821200000000914</c:v>
                </c:pt>
                <c:pt idx="729">
                  <c:v>36.821300000000917</c:v>
                </c:pt>
                <c:pt idx="730">
                  <c:v>36.821400000000921</c:v>
                </c:pt>
                <c:pt idx="731">
                  <c:v>36.821500000000924</c:v>
                </c:pt>
                <c:pt idx="732">
                  <c:v>36.821600000000927</c:v>
                </c:pt>
                <c:pt idx="733">
                  <c:v>36.821700000000931</c:v>
                </c:pt>
                <c:pt idx="734">
                  <c:v>36.821800000000934</c:v>
                </c:pt>
                <c:pt idx="735">
                  <c:v>36.821900000000937</c:v>
                </c:pt>
                <c:pt idx="736">
                  <c:v>36.822000000000941</c:v>
                </c:pt>
                <c:pt idx="737">
                  <c:v>36.822100000000944</c:v>
                </c:pt>
                <c:pt idx="738">
                  <c:v>36.822200000000947</c:v>
                </c:pt>
                <c:pt idx="739">
                  <c:v>36.822300000000951</c:v>
                </c:pt>
                <c:pt idx="740">
                  <c:v>36.822400000000954</c:v>
                </c:pt>
                <c:pt idx="741">
                  <c:v>36.822500000000957</c:v>
                </c:pt>
                <c:pt idx="742">
                  <c:v>36.822600000000961</c:v>
                </c:pt>
                <c:pt idx="743">
                  <c:v>36.822700000000964</c:v>
                </c:pt>
                <c:pt idx="744">
                  <c:v>36.822800000000967</c:v>
                </c:pt>
                <c:pt idx="745">
                  <c:v>36.822900000000971</c:v>
                </c:pt>
                <c:pt idx="746">
                  <c:v>36.823000000000974</c:v>
                </c:pt>
                <c:pt idx="747">
                  <c:v>36.823100000000977</c:v>
                </c:pt>
                <c:pt idx="748">
                  <c:v>36.82320000000098</c:v>
                </c:pt>
                <c:pt idx="749">
                  <c:v>36.823300000000984</c:v>
                </c:pt>
                <c:pt idx="750">
                  <c:v>36.823400000000987</c:v>
                </c:pt>
                <c:pt idx="751">
                  <c:v>36.82350000000099</c:v>
                </c:pt>
                <c:pt idx="752">
                  <c:v>36.823600000000994</c:v>
                </c:pt>
                <c:pt idx="753">
                  <c:v>36.823700000000997</c:v>
                </c:pt>
                <c:pt idx="754">
                  <c:v>36.823800000001</c:v>
                </c:pt>
                <c:pt idx="755">
                  <c:v>36.823900000001004</c:v>
                </c:pt>
                <c:pt idx="756">
                  <c:v>36.824000000001007</c:v>
                </c:pt>
                <c:pt idx="757">
                  <c:v>36.82410000000101</c:v>
                </c:pt>
                <c:pt idx="758">
                  <c:v>36.824200000001014</c:v>
                </c:pt>
                <c:pt idx="759">
                  <c:v>36.824300000001017</c:v>
                </c:pt>
                <c:pt idx="760">
                  <c:v>36.82440000000102</c:v>
                </c:pt>
                <c:pt idx="761">
                  <c:v>36.824500000001024</c:v>
                </c:pt>
                <c:pt idx="762">
                  <c:v>36.824600000001027</c:v>
                </c:pt>
                <c:pt idx="763">
                  <c:v>36.82470000000103</c:v>
                </c:pt>
                <c:pt idx="764">
                  <c:v>36.824800000001034</c:v>
                </c:pt>
                <c:pt idx="765">
                  <c:v>36.824900000001037</c:v>
                </c:pt>
                <c:pt idx="766">
                  <c:v>36.82500000000104</c:v>
                </c:pt>
                <c:pt idx="767">
                  <c:v>36.825100000001044</c:v>
                </c:pt>
                <c:pt idx="768">
                  <c:v>36.825200000001047</c:v>
                </c:pt>
                <c:pt idx="769">
                  <c:v>36.82530000000105</c:v>
                </c:pt>
                <c:pt idx="770">
                  <c:v>36.825400000001054</c:v>
                </c:pt>
                <c:pt idx="771">
                  <c:v>36.825500000001057</c:v>
                </c:pt>
                <c:pt idx="772">
                  <c:v>36.82560000000106</c:v>
                </c:pt>
                <c:pt idx="773">
                  <c:v>36.825700000001063</c:v>
                </c:pt>
                <c:pt idx="774">
                  <c:v>36.825800000001067</c:v>
                </c:pt>
                <c:pt idx="775">
                  <c:v>36.82590000000107</c:v>
                </c:pt>
                <c:pt idx="776">
                  <c:v>36.826000000001073</c:v>
                </c:pt>
                <c:pt idx="777">
                  <c:v>36.826100000001077</c:v>
                </c:pt>
                <c:pt idx="778">
                  <c:v>36.82620000000108</c:v>
                </c:pt>
                <c:pt idx="779">
                  <c:v>36.826300000001083</c:v>
                </c:pt>
                <c:pt idx="780">
                  <c:v>36.826400000001087</c:v>
                </c:pt>
                <c:pt idx="781">
                  <c:v>36.82650000000109</c:v>
                </c:pt>
                <c:pt idx="782">
                  <c:v>36.826600000001093</c:v>
                </c:pt>
                <c:pt idx="783">
                  <c:v>36.826700000001097</c:v>
                </c:pt>
                <c:pt idx="784">
                  <c:v>36.8268000000011</c:v>
                </c:pt>
                <c:pt idx="785">
                  <c:v>36.826900000001103</c:v>
                </c:pt>
                <c:pt idx="786">
                  <c:v>36.827000000001107</c:v>
                </c:pt>
                <c:pt idx="787">
                  <c:v>36.82710000000111</c:v>
                </c:pt>
                <c:pt idx="788">
                  <c:v>36.827200000001113</c:v>
                </c:pt>
                <c:pt idx="789">
                  <c:v>36.827300000001117</c:v>
                </c:pt>
                <c:pt idx="790">
                  <c:v>36.82740000000112</c:v>
                </c:pt>
                <c:pt idx="791">
                  <c:v>36.827500000001123</c:v>
                </c:pt>
                <c:pt idx="792">
                  <c:v>36.827600000001127</c:v>
                </c:pt>
                <c:pt idx="793">
                  <c:v>36.82770000000113</c:v>
                </c:pt>
                <c:pt idx="794">
                  <c:v>36.827800000001133</c:v>
                </c:pt>
                <c:pt idx="795">
                  <c:v>36.827900000001137</c:v>
                </c:pt>
                <c:pt idx="796">
                  <c:v>36.82800000000114</c:v>
                </c:pt>
                <c:pt idx="797">
                  <c:v>36.828100000001143</c:v>
                </c:pt>
                <c:pt idx="798">
                  <c:v>36.828200000001146</c:v>
                </c:pt>
                <c:pt idx="799">
                  <c:v>36.82830000000115</c:v>
                </c:pt>
                <c:pt idx="800">
                  <c:v>36.828400000001153</c:v>
                </c:pt>
                <c:pt idx="801">
                  <c:v>36.828500000001156</c:v>
                </c:pt>
                <c:pt idx="802">
                  <c:v>36.82860000000116</c:v>
                </c:pt>
                <c:pt idx="803">
                  <c:v>36.828700000001163</c:v>
                </c:pt>
                <c:pt idx="804">
                  <c:v>36.828800000001166</c:v>
                </c:pt>
                <c:pt idx="805">
                  <c:v>36.82890000000117</c:v>
                </c:pt>
                <c:pt idx="806">
                  <c:v>36.829000000001173</c:v>
                </c:pt>
                <c:pt idx="807">
                  <c:v>36.829100000001176</c:v>
                </c:pt>
                <c:pt idx="808">
                  <c:v>36.82920000000118</c:v>
                </c:pt>
                <c:pt idx="809">
                  <c:v>36.829300000001183</c:v>
                </c:pt>
                <c:pt idx="810">
                  <c:v>36.829400000001186</c:v>
                </c:pt>
                <c:pt idx="811">
                  <c:v>36.82950000000119</c:v>
                </c:pt>
                <c:pt idx="812">
                  <c:v>36.829600000001193</c:v>
                </c:pt>
                <c:pt idx="813">
                  <c:v>36.829700000001196</c:v>
                </c:pt>
                <c:pt idx="814">
                  <c:v>36.8298000000012</c:v>
                </c:pt>
                <c:pt idx="815">
                  <c:v>36.829900000001203</c:v>
                </c:pt>
                <c:pt idx="816">
                  <c:v>36.830000000001206</c:v>
                </c:pt>
                <c:pt idx="817">
                  <c:v>36.83010000000121</c:v>
                </c:pt>
                <c:pt idx="818">
                  <c:v>36.830200000001213</c:v>
                </c:pt>
                <c:pt idx="819">
                  <c:v>36.830300000001216</c:v>
                </c:pt>
                <c:pt idx="820">
                  <c:v>36.830400000001219</c:v>
                </c:pt>
                <c:pt idx="821">
                  <c:v>36.830500000001223</c:v>
                </c:pt>
                <c:pt idx="822">
                  <c:v>36.830600000001226</c:v>
                </c:pt>
                <c:pt idx="823">
                  <c:v>36.830700000001229</c:v>
                </c:pt>
                <c:pt idx="824">
                  <c:v>36.830800000001233</c:v>
                </c:pt>
                <c:pt idx="825">
                  <c:v>36.830900000001236</c:v>
                </c:pt>
                <c:pt idx="826">
                  <c:v>36.831000000001239</c:v>
                </c:pt>
                <c:pt idx="827">
                  <c:v>36.831100000001243</c:v>
                </c:pt>
                <c:pt idx="828">
                  <c:v>36.831200000001246</c:v>
                </c:pt>
                <c:pt idx="829">
                  <c:v>36.831300000001249</c:v>
                </c:pt>
                <c:pt idx="830">
                  <c:v>36.831400000001253</c:v>
                </c:pt>
                <c:pt idx="831">
                  <c:v>36.831500000001256</c:v>
                </c:pt>
                <c:pt idx="832">
                  <c:v>36.831600000001259</c:v>
                </c:pt>
                <c:pt idx="833">
                  <c:v>36.831700000001263</c:v>
                </c:pt>
                <c:pt idx="834">
                  <c:v>36.831800000001266</c:v>
                </c:pt>
                <c:pt idx="835">
                  <c:v>36.831900000001269</c:v>
                </c:pt>
                <c:pt idx="836">
                  <c:v>36.832000000001273</c:v>
                </c:pt>
                <c:pt idx="837">
                  <c:v>36.832100000001276</c:v>
                </c:pt>
                <c:pt idx="838">
                  <c:v>36.832200000001279</c:v>
                </c:pt>
                <c:pt idx="839">
                  <c:v>36.832300000001283</c:v>
                </c:pt>
                <c:pt idx="840">
                  <c:v>36.832400000001286</c:v>
                </c:pt>
                <c:pt idx="841">
                  <c:v>36.832500000001289</c:v>
                </c:pt>
                <c:pt idx="842">
                  <c:v>36.832600000001293</c:v>
                </c:pt>
                <c:pt idx="843">
                  <c:v>36.832700000001296</c:v>
                </c:pt>
                <c:pt idx="844">
                  <c:v>36.832800000001299</c:v>
                </c:pt>
                <c:pt idx="845">
                  <c:v>36.832900000001302</c:v>
                </c:pt>
                <c:pt idx="846">
                  <c:v>36.833000000001306</c:v>
                </c:pt>
                <c:pt idx="847">
                  <c:v>36.833100000001309</c:v>
                </c:pt>
                <c:pt idx="848">
                  <c:v>36.833200000001312</c:v>
                </c:pt>
                <c:pt idx="849">
                  <c:v>36.833300000001316</c:v>
                </c:pt>
                <c:pt idx="850">
                  <c:v>36.833400000001319</c:v>
                </c:pt>
                <c:pt idx="851">
                  <c:v>36.833500000001322</c:v>
                </c:pt>
                <c:pt idx="852">
                  <c:v>36.833600000001326</c:v>
                </c:pt>
                <c:pt idx="853">
                  <c:v>36.833700000001329</c:v>
                </c:pt>
                <c:pt idx="854">
                  <c:v>36.833800000001332</c:v>
                </c:pt>
                <c:pt idx="855">
                  <c:v>36.833900000001336</c:v>
                </c:pt>
                <c:pt idx="856">
                  <c:v>36.834000000001339</c:v>
                </c:pt>
                <c:pt idx="857">
                  <c:v>36.834100000001342</c:v>
                </c:pt>
                <c:pt idx="858">
                  <c:v>36.834200000001346</c:v>
                </c:pt>
                <c:pt idx="859">
                  <c:v>36.834300000001349</c:v>
                </c:pt>
                <c:pt idx="860">
                  <c:v>36.834400000001352</c:v>
                </c:pt>
                <c:pt idx="861">
                  <c:v>36.834500000001356</c:v>
                </c:pt>
                <c:pt idx="862">
                  <c:v>36.834600000001359</c:v>
                </c:pt>
                <c:pt idx="863">
                  <c:v>36.834700000001362</c:v>
                </c:pt>
                <c:pt idx="864">
                  <c:v>36.834800000001366</c:v>
                </c:pt>
                <c:pt idx="865">
                  <c:v>36.834900000001369</c:v>
                </c:pt>
                <c:pt idx="866">
                  <c:v>36.835000000001372</c:v>
                </c:pt>
                <c:pt idx="867">
                  <c:v>36.835100000001376</c:v>
                </c:pt>
                <c:pt idx="868">
                  <c:v>36.835200000001379</c:v>
                </c:pt>
                <c:pt idx="869">
                  <c:v>36.835300000001382</c:v>
                </c:pt>
                <c:pt idx="870">
                  <c:v>36.835400000001385</c:v>
                </c:pt>
                <c:pt idx="871">
                  <c:v>36.835500000001389</c:v>
                </c:pt>
                <c:pt idx="872">
                  <c:v>36.835600000001392</c:v>
                </c:pt>
                <c:pt idx="873">
                  <c:v>36.835700000001395</c:v>
                </c:pt>
                <c:pt idx="874">
                  <c:v>36.835800000001399</c:v>
                </c:pt>
                <c:pt idx="875">
                  <c:v>36.835900000001402</c:v>
                </c:pt>
                <c:pt idx="876">
                  <c:v>36.836000000001405</c:v>
                </c:pt>
                <c:pt idx="877">
                  <c:v>36.836100000001409</c:v>
                </c:pt>
                <c:pt idx="878">
                  <c:v>36.836200000001412</c:v>
                </c:pt>
                <c:pt idx="879">
                  <c:v>36.836300000001415</c:v>
                </c:pt>
                <c:pt idx="880">
                  <c:v>36.836400000001419</c:v>
                </c:pt>
                <c:pt idx="881">
                  <c:v>36.836500000001422</c:v>
                </c:pt>
                <c:pt idx="882">
                  <c:v>36.836600000001425</c:v>
                </c:pt>
                <c:pt idx="883">
                  <c:v>36.836700000001429</c:v>
                </c:pt>
                <c:pt idx="884">
                  <c:v>36.836800000001432</c:v>
                </c:pt>
                <c:pt idx="885">
                  <c:v>36.836900000001435</c:v>
                </c:pt>
                <c:pt idx="886">
                  <c:v>36.837000000001439</c:v>
                </c:pt>
                <c:pt idx="887">
                  <c:v>36.837100000001442</c:v>
                </c:pt>
                <c:pt idx="888">
                  <c:v>36.837200000001445</c:v>
                </c:pt>
                <c:pt idx="889">
                  <c:v>36.837300000001449</c:v>
                </c:pt>
                <c:pt idx="890">
                  <c:v>36.837400000001452</c:v>
                </c:pt>
                <c:pt idx="891">
                  <c:v>36.837500000001455</c:v>
                </c:pt>
                <c:pt idx="892">
                  <c:v>36.837600000001459</c:v>
                </c:pt>
                <c:pt idx="893">
                  <c:v>36.837700000001462</c:v>
                </c:pt>
                <c:pt idx="894">
                  <c:v>36.837800000001465</c:v>
                </c:pt>
                <c:pt idx="895">
                  <c:v>36.837900000001468</c:v>
                </c:pt>
                <c:pt idx="896">
                  <c:v>36.838000000001472</c:v>
                </c:pt>
                <c:pt idx="897">
                  <c:v>36.838100000001475</c:v>
                </c:pt>
                <c:pt idx="898">
                  <c:v>36.838200000001478</c:v>
                </c:pt>
                <c:pt idx="899">
                  <c:v>36.838300000001482</c:v>
                </c:pt>
                <c:pt idx="900">
                  <c:v>36.838400000001485</c:v>
                </c:pt>
                <c:pt idx="901">
                  <c:v>36.838500000001488</c:v>
                </c:pt>
                <c:pt idx="902">
                  <c:v>36.838600000001492</c:v>
                </c:pt>
                <c:pt idx="903">
                  <c:v>36.838700000001495</c:v>
                </c:pt>
                <c:pt idx="904">
                  <c:v>36.838800000001498</c:v>
                </c:pt>
                <c:pt idx="905">
                  <c:v>36.838900000001502</c:v>
                </c:pt>
                <c:pt idx="906">
                  <c:v>36.839000000001505</c:v>
                </c:pt>
                <c:pt idx="907">
                  <c:v>36.839100000001508</c:v>
                </c:pt>
                <c:pt idx="908">
                  <c:v>36.839200000001512</c:v>
                </c:pt>
                <c:pt idx="909">
                  <c:v>36.839300000001515</c:v>
                </c:pt>
                <c:pt idx="910">
                  <c:v>36.839400000001518</c:v>
                </c:pt>
                <c:pt idx="911">
                  <c:v>36.839500000001522</c:v>
                </c:pt>
                <c:pt idx="912">
                  <c:v>36.839600000001525</c:v>
                </c:pt>
                <c:pt idx="913">
                  <c:v>36.839700000001528</c:v>
                </c:pt>
                <c:pt idx="914">
                  <c:v>36.839800000001532</c:v>
                </c:pt>
                <c:pt idx="915">
                  <c:v>36.839900000001535</c:v>
                </c:pt>
                <c:pt idx="916">
                  <c:v>36.840000000001538</c:v>
                </c:pt>
                <c:pt idx="917">
                  <c:v>36.840100000001542</c:v>
                </c:pt>
                <c:pt idx="918">
                  <c:v>36.840200000001545</c:v>
                </c:pt>
                <c:pt idx="919">
                  <c:v>36.840300000001548</c:v>
                </c:pt>
                <c:pt idx="920">
                  <c:v>36.840400000001551</c:v>
                </c:pt>
                <c:pt idx="921">
                  <c:v>36.840500000001555</c:v>
                </c:pt>
                <c:pt idx="922">
                  <c:v>36.840600000001558</c:v>
                </c:pt>
                <c:pt idx="923">
                  <c:v>36.840700000001561</c:v>
                </c:pt>
                <c:pt idx="924">
                  <c:v>36.840800000001565</c:v>
                </c:pt>
                <c:pt idx="925">
                  <c:v>36.840900000001568</c:v>
                </c:pt>
                <c:pt idx="926">
                  <c:v>36.841000000001571</c:v>
                </c:pt>
                <c:pt idx="927">
                  <c:v>36.841100000001575</c:v>
                </c:pt>
                <c:pt idx="928">
                  <c:v>36.841200000001578</c:v>
                </c:pt>
                <c:pt idx="929">
                  <c:v>36.841300000001581</c:v>
                </c:pt>
                <c:pt idx="930">
                  <c:v>36.841400000001585</c:v>
                </c:pt>
                <c:pt idx="931">
                  <c:v>36.841500000001588</c:v>
                </c:pt>
                <c:pt idx="932">
                  <c:v>36.841600000001591</c:v>
                </c:pt>
                <c:pt idx="933">
                  <c:v>36.841700000001595</c:v>
                </c:pt>
                <c:pt idx="934">
                  <c:v>36.841800000001598</c:v>
                </c:pt>
                <c:pt idx="935">
                  <c:v>36.841900000001601</c:v>
                </c:pt>
                <c:pt idx="936">
                  <c:v>36.842000000001605</c:v>
                </c:pt>
                <c:pt idx="937">
                  <c:v>36.842100000001608</c:v>
                </c:pt>
                <c:pt idx="938">
                  <c:v>36.842200000001611</c:v>
                </c:pt>
                <c:pt idx="939">
                  <c:v>36.842300000001615</c:v>
                </c:pt>
                <c:pt idx="940">
                  <c:v>36.842400000001618</c:v>
                </c:pt>
                <c:pt idx="941">
                  <c:v>36.842500000001621</c:v>
                </c:pt>
                <c:pt idx="942">
                  <c:v>36.842600000001624</c:v>
                </c:pt>
                <c:pt idx="943">
                  <c:v>36.842700000001628</c:v>
                </c:pt>
                <c:pt idx="944">
                  <c:v>36.842800000001631</c:v>
                </c:pt>
                <c:pt idx="945">
                  <c:v>36.842900000001634</c:v>
                </c:pt>
                <c:pt idx="946">
                  <c:v>36.843000000001638</c:v>
                </c:pt>
                <c:pt idx="947">
                  <c:v>36.843100000001641</c:v>
                </c:pt>
                <c:pt idx="948">
                  <c:v>36.843200000001644</c:v>
                </c:pt>
                <c:pt idx="949">
                  <c:v>36.843300000001648</c:v>
                </c:pt>
                <c:pt idx="950">
                  <c:v>36.843400000001651</c:v>
                </c:pt>
                <c:pt idx="951">
                  <c:v>36.843500000001654</c:v>
                </c:pt>
                <c:pt idx="952">
                  <c:v>36.843600000001658</c:v>
                </c:pt>
                <c:pt idx="953">
                  <c:v>36.843700000001661</c:v>
                </c:pt>
                <c:pt idx="954">
                  <c:v>36.843800000001664</c:v>
                </c:pt>
                <c:pt idx="955">
                  <c:v>36.843900000001668</c:v>
                </c:pt>
                <c:pt idx="956">
                  <c:v>36.844000000001671</c:v>
                </c:pt>
                <c:pt idx="957">
                  <c:v>36.844100000001674</c:v>
                </c:pt>
                <c:pt idx="958">
                  <c:v>36.844200000001678</c:v>
                </c:pt>
                <c:pt idx="959">
                  <c:v>36.844300000001681</c:v>
                </c:pt>
                <c:pt idx="960">
                  <c:v>36.844400000001684</c:v>
                </c:pt>
                <c:pt idx="961">
                  <c:v>36.844500000001688</c:v>
                </c:pt>
                <c:pt idx="962">
                  <c:v>36.844600000001691</c:v>
                </c:pt>
                <c:pt idx="963">
                  <c:v>36.844700000001694</c:v>
                </c:pt>
                <c:pt idx="964">
                  <c:v>36.844800000001698</c:v>
                </c:pt>
                <c:pt idx="965">
                  <c:v>36.844900000001701</c:v>
                </c:pt>
                <c:pt idx="966">
                  <c:v>36.845000000001704</c:v>
                </c:pt>
                <c:pt idx="967">
                  <c:v>36.845100000001707</c:v>
                </c:pt>
                <c:pt idx="968">
                  <c:v>36.845200000001711</c:v>
                </c:pt>
                <c:pt idx="969">
                  <c:v>36.845300000001714</c:v>
                </c:pt>
                <c:pt idx="970">
                  <c:v>36.845400000001717</c:v>
                </c:pt>
                <c:pt idx="971">
                  <c:v>36.845500000001721</c:v>
                </c:pt>
                <c:pt idx="972">
                  <c:v>36.845600000001724</c:v>
                </c:pt>
                <c:pt idx="973">
                  <c:v>36.845700000001727</c:v>
                </c:pt>
                <c:pt idx="974">
                  <c:v>36.845800000001731</c:v>
                </c:pt>
                <c:pt idx="975">
                  <c:v>36.845900000001734</c:v>
                </c:pt>
                <c:pt idx="976">
                  <c:v>36.846000000001737</c:v>
                </c:pt>
                <c:pt idx="977">
                  <c:v>36.846100000001741</c:v>
                </c:pt>
                <c:pt idx="978">
                  <c:v>36.846200000001744</c:v>
                </c:pt>
                <c:pt idx="979">
                  <c:v>36.846300000001747</c:v>
                </c:pt>
                <c:pt idx="980">
                  <c:v>36.846400000001751</c:v>
                </c:pt>
                <c:pt idx="981">
                  <c:v>36.846500000001754</c:v>
                </c:pt>
                <c:pt idx="982">
                  <c:v>36.846600000001757</c:v>
                </c:pt>
                <c:pt idx="983">
                  <c:v>36.846700000001761</c:v>
                </c:pt>
                <c:pt idx="984">
                  <c:v>36.846800000001764</c:v>
                </c:pt>
                <c:pt idx="985">
                  <c:v>36.846900000001767</c:v>
                </c:pt>
                <c:pt idx="986">
                  <c:v>36.847000000001771</c:v>
                </c:pt>
                <c:pt idx="987">
                  <c:v>36.847100000001774</c:v>
                </c:pt>
                <c:pt idx="988">
                  <c:v>36.847200000001777</c:v>
                </c:pt>
                <c:pt idx="989">
                  <c:v>36.847300000001781</c:v>
                </c:pt>
                <c:pt idx="990">
                  <c:v>36.847400000001784</c:v>
                </c:pt>
                <c:pt idx="991">
                  <c:v>36.847500000001787</c:v>
                </c:pt>
                <c:pt idx="992">
                  <c:v>36.84760000000179</c:v>
                </c:pt>
                <c:pt idx="993">
                  <c:v>36.847700000001794</c:v>
                </c:pt>
                <c:pt idx="994">
                  <c:v>36.847800000001797</c:v>
                </c:pt>
                <c:pt idx="995">
                  <c:v>36.8479000000018</c:v>
                </c:pt>
                <c:pt idx="996">
                  <c:v>36.848000000001804</c:v>
                </c:pt>
                <c:pt idx="997">
                  <c:v>36.848100000001807</c:v>
                </c:pt>
                <c:pt idx="998">
                  <c:v>36.84820000000181</c:v>
                </c:pt>
                <c:pt idx="999">
                  <c:v>36.848300000001814</c:v>
                </c:pt>
                <c:pt idx="1000">
                  <c:v>36.848400000001817</c:v>
                </c:pt>
              </c:numCache>
            </c:numRef>
          </c:xVal>
          <c:yVal>
            <c:numRef>
              <c:f>Calculs!$I$4:$I$1004</c:f>
              <c:numCache>
                <c:formatCode>0.00</c:formatCode>
                <c:ptCount val="1001"/>
                <c:pt idx="0">
                  <c:v>176.71085285003218</c:v>
                </c:pt>
                <c:pt idx="1">
                  <c:v>176.57559037258412</c:v>
                </c:pt>
                <c:pt idx="2">
                  <c:v>176.85008961029362</c:v>
                </c:pt>
                <c:pt idx="3">
                  <c:v>177.29603109577621</c:v>
                </c:pt>
                <c:pt idx="4">
                  <c:v>177.67544049211872</c:v>
                </c:pt>
                <c:pt idx="5">
                  <c:v>178.01981521937324</c:v>
                </c:pt>
                <c:pt idx="6">
                  <c:v>178.36060972624043</c:v>
                </c:pt>
                <c:pt idx="7">
                  <c:v>178.69782930033691</c:v>
                </c:pt>
                <c:pt idx="8">
                  <c:v>179.03147928937676</c:v>
                </c:pt>
                <c:pt idx="9">
                  <c:v>179.3615651002724</c:v>
                </c:pt>
                <c:pt idx="10">
                  <c:v>179.68809219823834</c:v>
                </c:pt>
                <c:pt idx="11">
                  <c:v>180.01106610589721</c:v>
                </c:pt>
                <c:pt idx="12">
                  <c:v>180.3304924023885</c:v>
                </c:pt>
                <c:pt idx="13">
                  <c:v>180.64637672247991</c:v>
                </c:pt>
                <c:pt idx="14">
                  <c:v>180.95872475568169</c:v>
                </c:pt>
                <c:pt idx="15">
                  <c:v>181.26754224536353</c:v>
                </c:pt>
                <c:pt idx="16">
                  <c:v>181.57283498787476</c:v>
                </c:pt>
                <c:pt idx="17">
                  <c:v>181.87460883166739</c:v>
                </c:pt>
                <c:pt idx="18">
                  <c:v>182.17286967642227</c:v>
                </c:pt>
                <c:pt idx="19">
                  <c:v>182.46762347217859</c:v>
                </c:pt>
                <c:pt idx="20">
                  <c:v>182.75887621846658</c:v>
                </c:pt>
                <c:pt idx="21">
                  <c:v>183.04663396344358</c:v>
                </c:pt>
                <c:pt idx="22">
                  <c:v>183.33090280303358</c:v>
                </c:pt>
                <c:pt idx="23">
                  <c:v>183.61168888007023</c:v>
                </c:pt>
                <c:pt idx="24">
                  <c:v>183.88899838344344</c:v>
                </c:pt>
                <c:pt idx="25">
                  <c:v>184.16283754724978</c:v>
                </c:pt>
                <c:pt idx="26">
                  <c:v>184.43321264994631</c:v>
                </c:pt>
                <c:pt idx="27">
                  <c:v>184.70013001350864</c:v>
                </c:pt>
                <c:pt idx="28">
                  <c:v>184.96359600259231</c:v>
                </c:pt>
                <c:pt idx="29">
                  <c:v>185.22361702369864</c:v>
                </c:pt>
                <c:pt idx="30">
                  <c:v>185.48019952434407</c:v>
                </c:pt>
                <c:pt idx="31">
                  <c:v>185.733349992234</c:v>
                </c:pt>
                <c:pt idx="32">
                  <c:v>185.9830749544405</c:v>
                </c:pt>
                <c:pt idx="33">
                  <c:v>186.229380976584</c:v>
                </c:pt>
                <c:pt idx="34">
                  <c:v>186.4722746620198</c:v>
                </c:pt>
                <c:pt idx="35">
                  <c:v>186.71176265102815</c:v>
                </c:pt>
                <c:pt idx="36">
                  <c:v>186.94785162000912</c:v>
                </c:pt>
                <c:pt idx="37">
                  <c:v>187.18054828068179</c:v>
                </c:pt>
                <c:pt idx="38">
                  <c:v>187.40985937928775</c:v>
                </c:pt>
                <c:pt idx="39">
                  <c:v>187.63579169579916</c:v>
                </c:pt>
                <c:pt idx="40">
                  <c:v>187.8583520431313</c:v>
                </c:pt>
                <c:pt idx="41">
                  <c:v>188.07754726635986</c:v>
                </c:pt>
                <c:pt idx="42">
                  <c:v>188.29338424194256</c:v>
                </c:pt>
                <c:pt idx="43">
                  <c:v>188.50586987694575</c:v>
                </c:pt>
                <c:pt idx="44">
                  <c:v>188.71501110827543</c:v>
                </c:pt>
                <c:pt idx="45">
                  <c:v>188.92081490191339</c:v>
                </c:pt>
                <c:pt idx="46">
                  <c:v>189.12328825215764</c:v>
                </c:pt>
                <c:pt idx="47">
                  <c:v>189.32243818086809</c:v>
                </c:pt>
                <c:pt idx="48">
                  <c:v>189.51827173671688</c:v>
                </c:pt>
                <c:pt idx="49">
                  <c:v>189.71079599444377</c:v>
                </c:pt>
                <c:pt idx="50">
                  <c:v>189.90001805411623</c:v>
                </c:pt>
                <c:pt idx="51">
                  <c:v>190.08594504039473</c:v>
                </c:pt>
                <c:pt idx="52">
                  <c:v>190.26858410180279</c:v>
                </c:pt>
                <c:pt idx="53">
                  <c:v>190.4479424100023</c:v>
                </c:pt>
                <c:pt idx="54">
                  <c:v>190.62402715907365</c:v>
                </c:pt>
                <c:pt idx="55">
                  <c:v>190.79684556480123</c:v>
                </c:pt>
                <c:pt idx="56">
                  <c:v>190.96640486396359</c:v>
                </c:pt>
                <c:pt idx="57">
                  <c:v>191.13271231362936</c:v>
                </c:pt>
                <c:pt idx="58">
                  <c:v>191.29577519045768</c:v>
                </c:pt>
                <c:pt idx="59">
                  <c:v>191.45560079000415</c:v>
                </c:pt>
                <c:pt idx="60">
                  <c:v>191.61219642603197</c:v>
                </c:pt>
                <c:pt idx="61">
                  <c:v>191.7655694298283</c:v>
                </c:pt>
                <c:pt idx="62">
                  <c:v>191.91572714952557</c:v>
                </c:pt>
                <c:pt idx="63">
                  <c:v>192.05994063785678</c:v>
                </c:pt>
                <c:pt idx="64">
                  <c:v>192.1954866421047</c:v>
                </c:pt>
                <c:pt idx="65">
                  <c:v>192.32238550803075</c:v>
                </c:pt>
                <c:pt idx="66">
                  <c:v>192.44065769016939</c:v>
                </c:pt>
                <c:pt idx="67">
                  <c:v>192.54781520171991</c:v>
                </c:pt>
                <c:pt idx="68">
                  <c:v>192.64137562351641</c:v>
                </c:pt>
                <c:pt idx="69">
                  <c:v>192.71691023270745</c:v>
                </c:pt>
                <c:pt idx="70">
                  <c:v>192.77000069245292</c:v>
                </c:pt>
                <c:pt idx="71">
                  <c:v>192.80070325029382</c:v>
                </c:pt>
                <c:pt idx="72">
                  <c:v>192.80907482779753</c:v>
                </c:pt>
                <c:pt idx="73">
                  <c:v>192.79517299126667</c:v>
                </c:pt>
                <c:pt idx="74">
                  <c:v>192.75905592266881</c:v>
                </c:pt>
                <c:pt idx="75">
                  <c:v>192.70078239079405</c:v>
                </c:pt>
                <c:pt idx="76">
                  <c:v>192.62041172264719</c:v>
                </c:pt>
                <c:pt idx="77">
                  <c:v>192.51800377508147</c:v>
                </c:pt>
                <c:pt idx="78">
                  <c:v>192.39361890668005</c:v>
                </c:pt>
                <c:pt idx="79">
                  <c:v>192.2473179498906</c:v>
                </c:pt>
                <c:pt idx="80">
                  <c:v>192.0791621834197</c:v>
                </c:pt>
                <c:pt idx="81">
                  <c:v>191.89452173908748</c:v>
                </c:pt>
                <c:pt idx="82">
                  <c:v>191.69875217328632</c:v>
                </c:pt>
                <c:pt idx="83">
                  <c:v>191.49188476858598</c:v>
                </c:pt>
                <c:pt idx="84">
                  <c:v>191.27395080524056</c:v>
                </c:pt>
                <c:pt idx="85">
                  <c:v>191.04498155482972</c:v>
                </c:pt>
                <c:pt idx="86">
                  <c:v>190.80500827397955</c:v>
                </c:pt>
                <c:pt idx="87">
                  <c:v>190.55406219816277</c:v>
                </c:pt>
                <c:pt idx="88">
                  <c:v>190.292174535578</c:v>
                </c:pt>
                <c:pt idx="89">
                  <c:v>190.02105379912359</c:v>
                </c:pt>
                <c:pt idx="90">
                  <c:v>189.74240351487452</c:v>
                </c:pt>
                <c:pt idx="91">
                  <c:v>189.45624468869266</c:v>
                </c:pt>
                <c:pt idx="92">
                  <c:v>189.16259825501547</c:v>
                </c:pt>
                <c:pt idx="93">
                  <c:v>188.86190448185388</c:v>
                </c:pt>
                <c:pt idx="94">
                  <c:v>188.55460230737125</c:v>
                </c:pt>
                <c:pt idx="95">
                  <c:v>188.24070990026769</c:v>
                </c:pt>
                <c:pt idx="96">
                  <c:v>187.92024534975857</c:v>
                </c:pt>
                <c:pt idx="97">
                  <c:v>187.59490447827002</c:v>
                </c:pt>
                <c:pt idx="98">
                  <c:v>187.26637796010982</c:v>
                </c:pt>
                <c:pt idx="99">
                  <c:v>186.93467345024087</c:v>
                </c:pt>
                <c:pt idx="100">
                  <c:v>186.59979854951465</c:v>
                </c:pt>
                <c:pt idx="101">
                  <c:v>186.26176080449025</c:v>
                </c:pt>
                <c:pt idx="102">
                  <c:v>185.92056770725765</c:v>
                </c:pt>
                <c:pt idx="103">
                  <c:v>185.57622669526546</c:v>
                </c:pt>
                <c:pt idx="104">
                  <c:v>185.22874515115211</c:v>
                </c:pt>
                <c:pt idx="105">
                  <c:v>184.87813040258129</c:v>
                </c:pt>
                <c:pt idx="106">
                  <c:v>184.52438972208145</c:v>
                </c:pt>
                <c:pt idx="107">
                  <c:v>184.16753032688871</c:v>
                </c:pt>
                <c:pt idx="108">
                  <c:v>183.80755937879385</c:v>
                </c:pt>
                <c:pt idx="109">
                  <c:v>183.44658149438982</c:v>
                </c:pt>
                <c:pt idx="110">
                  <c:v>183.08669487972122</c:v>
                </c:pt>
                <c:pt idx="111">
                  <c:v>182.72789388383697</c:v>
                </c:pt>
                <c:pt idx="112">
                  <c:v>182.3701728948362</c:v>
                </c:pt>
                <c:pt idx="113">
                  <c:v>182.01352633952988</c:v>
                </c:pt>
                <c:pt idx="114">
                  <c:v>181.65794868310593</c:v>
                </c:pt>
                <c:pt idx="115">
                  <c:v>181.30343442879786</c:v>
                </c:pt>
                <c:pt idx="116">
                  <c:v>180.94997811755675</c:v>
                </c:pt>
                <c:pt idx="117">
                  <c:v>180.59757432772679</c:v>
                </c:pt>
                <c:pt idx="118">
                  <c:v>180.24621767472397</c:v>
                </c:pt>
                <c:pt idx="119">
                  <c:v>179.8959028107183</c:v>
                </c:pt>
                <c:pt idx="120">
                  <c:v>179.54662442431913</c:v>
                </c:pt>
                <c:pt idx="121">
                  <c:v>179.19837724026397</c:v>
                </c:pt>
                <c:pt idx="122">
                  <c:v>178.85115601911005</c:v>
                </c:pt>
                <c:pt idx="123">
                  <c:v>178.50495555692967</c:v>
                </c:pt>
                <c:pt idx="124">
                  <c:v>178.15977068500806</c:v>
                </c:pt>
                <c:pt idx="125">
                  <c:v>177.8155962695447</c:v>
                </c:pt>
                <c:pt idx="126">
                  <c:v>177.47242721135765</c:v>
                </c:pt>
                <c:pt idx="127">
                  <c:v>177.1302584455907</c:v>
                </c:pt>
                <c:pt idx="128">
                  <c:v>176.78908494142379</c:v>
                </c:pt>
                <c:pt idx="129">
                  <c:v>176.44890170178607</c:v>
                </c:pt>
                <c:pt idx="130">
                  <c:v>176.10970376307208</c:v>
                </c:pt>
                <c:pt idx="131">
                  <c:v>175.77148619486081</c:v>
                </c:pt>
                <c:pt idx="132">
                  <c:v>175.43424409963734</c:v>
                </c:pt>
                <c:pt idx="133">
                  <c:v>175.09797261251768</c:v>
                </c:pt>
                <c:pt idx="134">
                  <c:v>174.76266690097606</c:v>
                </c:pt>
                <c:pt idx="135">
                  <c:v>174.42832216457504</c:v>
                </c:pt>
                <c:pt idx="136">
                  <c:v>174.09493363469849</c:v>
                </c:pt>
                <c:pt idx="137">
                  <c:v>173.76249657428704</c:v>
                </c:pt>
                <c:pt idx="138">
                  <c:v>173.4310062775763</c:v>
                </c:pt>
                <c:pt idx="139">
                  <c:v>173.10045806983752</c:v>
                </c:pt>
                <c:pt idx="140">
                  <c:v>172.77084730712116</c:v>
                </c:pt>
                <c:pt idx="141">
                  <c:v>172.44216937600268</c:v>
                </c:pt>
                <c:pt idx="142">
                  <c:v>172.11441969333109</c:v>
                </c:pt>
                <c:pt idx="143">
                  <c:v>171.78759370597984</c:v>
                </c:pt>
                <c:pt idx="144">
                  <c:v>171.46168689060019</c:v>
                </c:pt>
                <c:pt idx="145">
                  <c:v>171.13669475337718</c:v>
                </c:pt>
                <c:pt idx="146">
                  <c:v>170.81261282978784</c:v>
                </c:pt>
                <c:pt idx="147">
                  <c:v>170.48943668436178</c:v>
                </c:pt>
                <c:pt idx="148">
                  <c:v>170.16716191044424</c:v>
                </c:pt>
                <c:pt idx="149">
                  <c:v>169.84578412996146</c:v>
                </c:pt>
                <c:pt idx="150">
                  <c:v>169.52529899318822</c:v>
                </c:pt>
                <c:pt idx="151">
                  <c:v>169.20570217851775</c:v>
                </c:pt>
                <c:pt idx="152">
                  <c:v>168.88698939223403</c:v>
                </c:pt>
                <c:pt idx="153">
                  <c:v>168.56915636828592</c:v>
                </c:pt>
                <c:pt idx="154">
                  <c:v>168.25219886806391</c:v>
                </c:pt>
                <c:pt idx="155">
                  <c:v>167.93611268017881</c:v>
                </c:pt>
                <c:pt idx="156">
                  <c:v>167.62089362024267</c:v>
                </c:pt>
                <c:pt idx="157">
                  <c:v>167.30653753065172</c:v>
                </c:pt>
                <c:pt idx="158">
                  <c:v>166.99304028037162</c:v>
                </c:pt>
                <c:pt idx="159">
                  <c:v>166.68039776472443</c:v>
                </c:pt>
                <c:pt idx="160">
                  <c:v>166.3686059051781</c:v>
                </c:pt>
                <c:pt idx="161">
                  <c:v>166.05766064913757</c:v>
                </c:pt>
                <c:pt idx="162">
                  <c:v>165.74755796973824</c:v>
                </c:pt>
                <c:pt idx="163">
                  <c:v>165.43829386564096</c:v>
                </c:pt>
                <c:pt idx="164">
                  <c:v>165.12986436082946</c:v>
                </c:pt>
                <c:pt idx="165">
                  <c:v>164.8222655044095</c:v>
                </c:pt>
                <c:pt idx="166">
                  <c:v>164.51549337040987</c:v>
                </c:pt>
                <c:pt idx="167">
                  <c:v>164.2095440575855</c:v>
                </c:pt>
                <c:pt idx="168">
                  <c:v>163.90441368922214</c:v>
                </c:pt>
                <c:pt idx="169">
                  <c:v>163.60009841294323</c:v>
                </c:pt>
                <c:pt idx="170">
                  <c:v>163.29659440051842</c:v>
                </c:pt>
                <c:pt idx="171">
                  <c:v>162.99389784767388</c:v>
                </c:pt>
                <c:pt idx="172">
                  <c:v>162.69200497390443</c:v>
                </c:pt>
                <c:pt idx="173">
                  <c:v>162.39091202228761</c:v>
                </c:pt>
                <c:pt idx="174">
                  <c:v>162.09061525929928</c:v>
                </c:pt>
                <c:pt idx="175">
                  <c:v>161.79111097463101</c:v>
                </c:pt>
                <c:pt idx="176">
                  <c:v>161.49239548100925</c:v>
                </c:pt>
                <c:pt idx="177">
                  <c:v>161.19446511401617</c:v>
                </c:pt>
                <c:pt idx="178">
                  <c:v>160.89731623191224</c:v>
                </c:pt>
                <c:pt idx="179">
                  <c:v>160.60094521546026</c:v>
                </c:pt>
                <c:pt idx="180">
                  <c:v>160.30534846775132</c:v>
                </c:pt>
                <c:pt idx="181">
                  <c:v>160.01052241403218</c:v>
                </c:pt>
                <c:pt idx="182">
                  <c:v>159.71646350153429</c:v>
                </c:pt>
                <c:pt idx="183">
                  <c:v>159.42316819930454</c:v>
                </c:pt>
                <c:pt idx="184">
                  <c:v>159.13063299803736</c:v>
                </c:pt>
                <c:pt idx="185">
                  <c:v>158.83885440990849</c:v>
                </c:pt>
                <c:pt idx="186">
                  <c:v>158.54782896841047</c:v>
                </c:pt>
                <c:pt idx="187">
                  <c:v>158.25755322818918</c:v>
                </c:pt>
                <c:pt idx="188">
                  <c:v>157.96802376488247</c:v>
                </c:pt>
                <c:pt idx="189">
                  <c:v>157.67923717495972</c:v>
                </c:pt>
                <c:pt idx="190">
                  <c:v>157.39119007556332</c:v>
                </c:pt>
                <c:pt idx="191">
                  <c:v>157.10387910435142</c:v>
                </c:pt>
                <c:pt idx="192">
                  <c:v>156.81730091934199</c:v>
                </c:pt>
                <c:pt idx="193">
                  <c:v>156.53145219875859</c:v>
                </c:pt>
                <c:pt idx="194">
                  <c:v>156.24632964087732</c:v>
                </c:pt>
                <c:pt idx="195">
                  <c:v>155.96192996387538</c:v>
                </c:pt>
                <c:pt idx="196">
                  <c:v>155.67824990568064</c:v>
                </c:pt>
                <c:pt idx="197">
                  <c:v>155.39528622382306</c:v>
                </c:pt>
                <c:pt idx="198">
                  <c:v>155.11303569528715</c:v>
                </c:pt>
                <c:pt idx="199">
                  <c:v>154.83149511636577</c:v>
                </c:pt>
                <c:pt idx="200">
                  <c:v>154.55066130251549</c:v>
                </c:pt>
                <c:pt idx="201">
                  <c:v>151.74951809784727</c:v>
                </c:pt>
                <c:pt idx="202">
                  <c:v>149.01776804754255</c:v>
                </c:pt>
                <c:pt idx="203">
                  <c:v>146.35236847437073</c:v>
                </c:pt>
                <c:pt idx="204">
                  <c:v>143.75045255702631</c:v>
                </c:pt>
                <c:pt idx="205">
                  <c:v>141.20931675788091</c:v>
                </c:pt>
                <c:pt idx="206">
                  <c:v>138.72640932442164</c:v>
                </c:pt>
                <c:pt idx="207">
                  <c:v>136.29931975889573</c:v>
                </c:pt>
                <c:pt idx="208">
                  <c:v>133.92576916242504</c:v>
                </c:pt>
                <c:pt idx="209">
                  <c:v>131.60360137014371</c:v>
                </c:pt>
                <c:pt idx="210">
                  <c:v>129.33077480295034</c:v>
                </c:pt>
                <c:pt idx="211">
                  <c:v>127.10535496941644</c:v>
                </c:pt>
                <c:pt idx="212">
                  <c:v>124.92550755840124</c:v>
                </c:pt>
                <c:pt idx="213">
                  <c:v>122.78949206911288</c:v>
                </c:pt>
                <c:pt idx="214">
                  <c:v>120.69565593083034</c:v>
                </c:pt>
                <c:pt idx="215">
                  <c:v>118.64242906935377</c:v>
                </c:pt>
                <c:pt idx="216">
                  <c:v>116.62831888155789</c:v>
                </c:pt>
                <c:pt idx="217">
                  <c:v>114.65190558325391</c:v>
                </c:pt>
                <c:pt idx="218">
                  <c:v>112.71183789897728</c:v>
                </c:pt>
                <c:pt idx="219">
                  <c:v>110.80682906536281</c:v>
                </c:pt>
                <c:pt idx="220">
                  <c:v>108.93565312248856</c:v>
                </c:pt>
                <c:pt idx="221">
                  <c:v>107.09714147000543</c:v>
                </c:pt>
                <c:pt idx="222">
                  <c:v>105.29017966705169</c:v>
                </c:pt>
                <c:pt idx="223">
                  <c:v>103.51370445691293</c:v>
                </c:pt>
                <c:pt idx="224">
                  <c:v>101.76670099915054</c:v>
                </c:pt>
                <c:pt idx="225">
                  <c:v>100.04820029351114</c:v>
                </c:pt>
                <c:pt idx="226">
                  <c:v>98.357276781363524</c:v>
                </c:pt>
                <c:pt idx="227">
                  <c:v>96.693046111706323</c:v>
                </c:pt>
                <c:pt idx="228">
                  <c:v>95.054663059964682</c:v>
                </c:pt>
                <c:pt idx="229">
                  <c:v>93.441319588860281</c:v>
                </c:pt>
                <c:pt idx="230">
                  <c:v>91.852243041609697</c:v>
                </c:pt>
                <c:pt idx="231">
                  <c:v>90.286694458590262</c:v>
                </c:pt>
                <c:pt idx="232">
                  <c:v>88.743967009421212</c:v>
                </c:pt>
                <c:pt idx="233">
                  <c:v>87.223384533148703</c:v>
                </c:pt>
                <c:pt idx="234">
                  <c:v>85.724300179904645</c:v>
                </c:pt>
                <c:pt idx="235">
                  <c:v>84.246095148036943</c:v>
                </c:pt>
                <c:pt idx="236">
                  <c:v>82.788177511290485</c:v>
                </c:pt>
                <c:pt idx="237">
                  <c:v>81.349981131158273</c:v>
                </c:pt>
                <c:pt idx="238">
                  <c:v>79.930964650026112</c:v>
                </c:pt>
                <c:pt idx="239">
                  <c:v>78.530610561207638</c:v>
                </c:pt>
                <c:pt idx="240">
                  <c:v>77.148424352412349</c:v>
                </c:pt>
                <c:pt idx="241">
                  <c:v>75.783933719612719</c:v>
                </c:pt>
                <c:pt idx="242">
                  <c:v>74.436687848680705</c:v>
                </c:pt>
                <c:pt idx="243">
                  <c:v>73.106256762552675</c:v>
                </c:pt>
                <c:pt idx="244">
                  <c:v>71.792230732058869</c:v>
                </c:pt>
                <c:pt idx="245">
                  <c:v>70.494219748920955</c:v>
                </c:pt>
                <c:pt idx="246">
                  <c:v>69.21185305978436</c:v>
                </c:pt>
                <c:pt idx="247">
                  <c:v>67.944778760510843</c:v>
                </c:pt>
                <c:pt idx="248">
                  <c:v>66.69266345031815</c:v>
                </c:pt>
                <c:pt idx="249">
                  <c:v>65.455191945716493</c:v>
                </c:pt>
                <c:pt idx="250">
                  <c:v>64.23206705456208</c:v>
                </c:pt>
                <c:pt idx="251">
                  <c:v>63.023009410927259</c:v>
                </c:pt>
                <c:pt idx="252">
                  <c:v>61.827757371878725</c:v>
                </c:pt>
                <c:pt idx="253">
                  <c:v>60.646066977661754</c:v>
                </c:pt>
                <c:pt idx="254">
                  <c:v>59.477711977213325</c:v>
                </c:pt>
                <c:pt idx="255">
                  <c:v>58.322483921372424</c:v>
                </c:pt>
                <c:pt idx="256">
                  <c:v>57.180192326623832</c:v>
                </c:pt>
                <c:pt idx="257">
                  <c:v>56.050664912706004</c:v>
                </c:pt>
                <c:pt idx="258">
                  <c:v>54.933747917934177</c:v>
                </c:pt>
                <c:pt idx="259">
                  <c:v>53.829306496639028</c:v>
                </c:pt>
                <c:pt idx="260">
                  <c:v>52.737225203699616</c:v>
                </c:pt>
                <c:pt idx="261">
                  <c:v>51.657408571754438</c:v>
                </c:pt>
                <c:pt idx="262">
                  <c:v>50.589781787306016</c:v>
                </c:pt>
                <c:pt idx="263">
                  <c:v>49.534291472586048</c:v>
                </c:pt>
                <c:pt idx="264">
                  <c:v>48.490906580712668</c:v>
                </c:pt>
                <c:pt idx="265">
                  <c:v>47.459619412337908</c:v>
                </c:pt>
                <c:pt idx="266">
                  <c:v>46.440446762634409</c:v>
                </c:pt>
                <c:pt idx="267">
                  <c:v>45.433431208082986</c:v>
                </c:pt>
                <c:pt idx="268">
                  <c:v>44.438642543065285</c:v>
                </c:pt>
                <c:pt idx="269">
                  <c:v>43.456179376695019</c:v>
                </c:pt>
                <c:pt idx="270">
                  <c:v>42.486170900581101</c:v>
                </c:pt>
                <c:pt idx="271">
                  <c:v>41.528778838231489</c:v>
                </c:pt>
                <c:pt idx="272">
                  <c:v>40.58419958648205</c:v>
                </c:pt>
                <c:pt idx="273">
                  <c:v>39.6526665585464</c:v>
                </c:pt>
                <c:pt idx="274">
                  <c:v>38.734452736873948</c:v>
                </c:pt>
                <c:pt idx="275">
                  <c:v>37.829873441777529</c:v>
                </c:pt>
                <c:pt idx="276">
                  <c:v>36.939289318504393</c:v>
                </c:pt>
                <c:pt idx="277">
                  <c:v>36.063109540775145</c:v>
                </c:pt>
                <c:pt idx="278">
                  <c:v>35.201795222441937</c:v>
                </c:pt>
                <c:pt idx="279">
                  <c:v>34.355863020388639</c:v>
                </c:pt>
                <c:pt idx="280">
                  <c:v>33.525888900611371</c:v>
                </c:pt>
                <c:pt idx="281">
                  <c:v>32.712512025010547</c:v>
                </c:pt>
                <c:pt idx="282">
                  <c:v>31.916438698178027</c:v>
                </c:pt>
                <c:pt idx="283">
                  <c:v>31.138446290738909</c:v>
                </c:pt>
                <c:pt idx="284">
                  <c:v>30.379387028005169</c:v>
                </c:pt>
                <c:pt idx="285">
                  <c:v>29.640191499339039</c:v>
                </c:pt>
                <c:pt idx="286">
                  <c:v>28.921871704482555</c:v>
                </c:pt>
                <c:pt idx="287">
                  <c:v>28.225523408396711</c:v>
                </c:pt>
                <c:pt idx="288">
                  <c:v>27.552327526762664</c:v>
                </c:pt>
                <c:pt idx="289">
                  <c:v>26.903550212109057</c:v>
                </c:pt>
                <c:pt idx="290">
                  <c:v>26.280541258770981</c:v>
                </c:pt>
                <c:pt idx="291">
                  <c:v>25.684730398497038</c:v>
                </c:pt>
                <c:pt idx="292">
                  <c:v>25.117621024469713</c:v>
                </c:pt>
                <c:pt idx="293">
                  <c:v>24.580780868927373</c:v>
                </c:pt>
                <c:pt idx="294">
                  <c:v>24.075829179590901</c:v>
                </c:pt>
                <c:pt idx="295">
                  <c:v>23.604420005077888</c:v>
                </c:pt>
                <c:pt idx="296">
                  <c:v>23.168221321608961</c:v>
                </c:pt>
                <c:pt idx="297">
                  <c:v>22.768889922226705</c:v>
                </c:pt>
                <c:pt idx="298">
                  <c:v>22.408042249439667</c:v>
                </c:pt>
                <c:pt idx="299">
                  <c:v>22.087221677344477</c:v>
                </c:pt>
                <c:pt idx="300">
                  <c:v>21.807863121856201</c:v>
                </c:pt>
                <c:pt idx="301">
                  <c:v>21.571256245009913</c:v>
                </c:pt>
                <c:pt idx="302">
                  <c:v>21.378508874790764</c:v>
                </c:pt>
                <c:pt idx="303">
                  <c:v>21.230512529713934</c:v>
                </c:pt>
                <c:pt idx="304">
                  <c:v>21.127912061002874</c:v>
                </c:pt>
                <c:pt idx="305">
                  <c:v>21.071081359674572</c:v>
                </c:pt>
                <c:pt idx="306">
                  <c:v>21.060106799870351</c:v>
                </c:pt>
                <c:pt idx="307">
                  <c:v>21.094779615084775</c:v>
                </c:pt>
                <c:pt idx="308">
                  <c:v>21.174597777713672</c:v>
                </c:pt>
                <c:pt idx="309">
                  <c:v>21.298777250986284</c:v>
                </c:pt>
                <c:pt idx="310">
                  <c:v>21.466271797444836</c:v>
                </c:pt>
                <c:pt idx="311">
                  <c:v>21.675799948031607</c:v>
                </c:pt>
                <c:pt idx="312">
                  <c:v>21.925877328159554</c:v>
                </c:pt>
                <c:pt idx="313">
                  <c:v>22.214852337059686</c:v>
                </c:pt>
                <c:pt idx="314">
                  <c:v>22.540943183751484</c:v>
                </c:pt>
                <c:pt idx="315">
                  <c:v>22.902274466171445</c:v>
                </c:pt>
                <c:pt idx="316">
                  <c:v>23.296911788564607</c:v>
                </c:pt>
                <c:pt idx="317">
                  <c:v>23.722893288352736</c:v>
                </c:pt>
                <c:pt idx="318">
                  <c:v>24.17825733353342</c:v>
                </c:pt>
                <c:pt idx="319">
                  <c:v>24.661066012911174</c:v>
                </c:pt>
                <c:pt idx="320">
                  <c:v>25.169424346494921</c:v>
                </c:pt>
                <c:pt idx="321">
                  <c:v>25.701495378952472</c:v>
                </c:pt>
                <c:pt idx="322">
                  <c:v>26.255511483540616</c:v>
                </c:pt>
                <c:pt idx="323">
                  <c:v>26.829782303966788</c:v>
                </c:pt>
                <c:pt idx="324">
                  <c:v>27.422699808241081</c:v>
                </c:pt>
                <c:pt idx="325">
                  <c:v>28.032740934401577</c:v>
                </c:pt>
                <c:pt idx="326">
                  <c:v>28.658468285261261</c:v>
                </c:pt>
                <c:pt idx="327">
                  <c:v>29.298529288626217</c:v>
                </c:pt>
                <c:pt idx="328">
                  <c:v>29.951654189229128</c:v>
                </c:pt>
                <c:pt idx="329">
                  <c:v>30.616653185181722</c:v>
                </c:pt>
                <c:pt idx="330">
                  <c:v>31.292412969387449</c:v>
                </c:pt>
                <c:pt idx="331">
                  <c:v>31.977892887778172</c:v>
                </c:pt>
                <c:pt idx="332">
                  <c:v>32.672120882923018</c:v>
                </c:pt>
                <c:pt idx="333">
                  <c:v>33.374189354101006</c:v>
                </c:pt>
                <c:pt idx="334">
                  <c:v>34.08325103333776</c:v>
                </c:pt>
                <c:pt idx="335">
                  <c:v>34.798514950821662</c:v>
                </c:pt>
                <c:pt idx="336">
                  <c:v>35.519242541978933</c:v>
                </c:pt>
                <c:pt idx="337">
                  <c:v>36.244743931657965</c:v>
                </c:pt>
                <c:pt idx="338">
                  <c:v>36.974374417699543</c:v>
                </c:pt>
                <c:pt idx="339">
                  <c:v>37.707531166035636</c:v>
                </c:pt>
                <c:pt idx="340">
                  <c:v>38.443650121811295</c:v>
                </c:pt>
                <c:pt idx="341">
                  <c:v>39.182203135376248</c:v>
                </c:pt>
                <c:pt idx="342">
                  <c:v>39.922695297934773</c:v>
                </c:pt>
                <c:pt idx="343">
                  <c:v>40.664662478829364</c:v>
                </c:pt>
                <c:pt idx="344">
                  <c:v>41.407669054584218</c:v>
                </c:pt>
                <c:pt idx="345">
                  <c:v>42.151305818720182</c:v>
                </c:pt>
                <c:pt idx="346">
                  <c:v>42.895188060790055</c:v>
                </c:pt>
                <c:pt idx="347">
                  <c:v>43.638953802928754</c:v>
                </c:pt>
                <c:pt idx="348">
                  <c:v>44.382262182351717</c:v>
                </c:pt>
                <c:pt idx="349">
                  <c:v>45.124791968581057</c:v>
                </c:pt>
                <c:pt idx="350">
                  <c:v>45.86624020466374</c:v>
                </c:pt>
                <c:pt idx="351">
                  <c:v>46.606320962218525</c:v>
                </c:pt>
                <c:pt idx="352">
                  <c:v>47.344764200771223</c:v>
                </c:pt>
                <c:pt idx="353">
                  <c:v>48.081314722481061</c:v>
                </c:pt>
                <c:pt idx="354">
                  <c:v>48.815731214006135</c:v>
                </c:pt>
                <c:pt idx="355">
                  <c:v>49.547785367886341</c:v>
                </c:pt>
                <c:pt idx="356">
                  <c:v>50.277261076430527</c:v>
                </c:pt>
                <c:pt idx="357">
                  <c:v>51.003953691671853</c:v>
                </c:pt>
                <c:pt idx="358">
                  <c:v>51.72766934549945</c:v>
                </c:pt>
                <c:pt idx="359">
                  <c:v>52.448224324583059</c:v>
                </c:pt>
                <c:pt idx="360">
                  <c:v>53.165444495178974</c:v>
                </c:pt>
                <c:pt idx="361">
                  <c:v>53.879164773342282</c:v>
                </c:pt>
                <c:pt idx="362">
                  <c:v>54.589228636471745</c:v>
                </c:pt>
                <c:pt idx="363">
                  <c:v>55.295487672482238</c:v>
                </c:pt>
                <c:pt idx="364">
                  <c:v>55.99780116323668</c:v>
                </c:pt>
                <c:pt idx="365">
                  <c:v>56.696035699177479</c:v>
                </c:pt>
                <c:pt idx="366">
                  <c:v>57.390064822377852</c:v>
                </c:pt>
                <c:pt idx="367">
                  <c:v>58.079768695489129</c:v>
                </c:pt>
                <c:pt idx="368">
                  <c:v>58.765033794292144</c:v>
                </c:pt>
                <c:pt idx="369">
                  <c:v>59.445752621772051</c:v>
                </c:pt>
                <c:pt idx="370">
                  <c:v>60.121823441827246</c:v>
                </c:pt>
                <c:pt idx="371">
                  <c:v>60.793150030897024</c:v>
                </c:pt>
                <c:pt idx="372">
                  <c:v>61.459641445950254</c:v>
                </c:pt>
                <c:pt idx="373">
                  <c:v>62.121211807420295</c:v>
                </c:pt>
                <c:pt idx="374">
                  <c:v>62.777780095800956</c:v>
                </c:pt>
                <c:pt idx="375">
                  <c:v>63.42926996073605</c:v>
                </c:pt>
                <c:pt idx="376">
                  <c:v>64.075609541541439</c:v>
                </c:pt>
                <c:pt idx="377">
                  <c:v>64.716731298195313</c:v>
                </c:pt>
                <c:pt idx="378">
                  <c:v>65.352571851920047</c:v>
                </c:pt>
                <c:pt idx="379">
                  <c:v>65.98307183455843</c:v>
                </c:pt>
                <c:pt idx="380">
                  <c:v>66.608175746019441</c:v>
                </c:pt>
                <c:pt idx="381">
                  <c:v>67.227831819133954</c:v>
                </c:pt>
                <c:pt idx="382">
                  <c:v>67.841991891320461</c:v>
                </c:pt>
                <c:pt idx="383">
                  <c:v>68.450611282514913</c:v>
                </c:pt>
                <c:pt idx="384">
                  <c:v>69.053648678867432</c:v>
                </c:pt>
                <c:pt idx="385">
                  <c:v>69.651066021753977</c:v>
                </c:pt>
                <c:pt idx="386">
                  <c:v>70.242828401690673</c:v>
                </c:pt>
                <c:pt idx="387">
                  <c:v>70.828903956776202</c:v>
                </c:pt>
                <c:pt idx="388">
                  <c:v>71.409263775320539</c:v>
                </c:pt>
                <c:pt idx="389">
                  <c:v>71.983881802349131</c:v>
                </c:pt>
                <c:pt idx="390">
                  <c:v>72.552734749699269</c:v>
                </c:pt>
                <c:pt idx="391">
                  <c:v>73.115802009450846</c:v>
                </c:pt>
                <c:pt idx="392">
                  <c:v>73.673065570456131</c:v>
                </c:pt>
                <c:pt idx="393">
                  <c:v>74.224509937755073</c:v>
                </c:pt>
                <c:pt idx="394">
                  <c:v>74.770122054680598</c:v>
                </c:pt>
                <c:pt idx="395">
                  <c:v>75.309891227476982</c:v>
                </c:pt>
                <c:pt idx="396">
                  <c:v>75.843809052268924</c:v>
                </c:pt>
                <c:pt idx="397">
                  <c:v>76.37186934423444</c:v>
                </c:pt>
                <c:pt idx="398">
                  <c:v>76.894068068847318</c:v>
                </c:pt>
                <c:pt idx="399">
                  <c:v>77.410403275066969</c:v>
                </c:pt>
                <c:pt idx="400">
                  <c:v>77.920875030364243</c:v>
                </c:pt>
                <c:pt idx="401">
                  <c:v>78.425485357482231</c:v>
                </c:pt>
                <c:pt idx="402">
                  <c:v>78.924238172839381</c:v>
                </c:pt>
                <c:pt idx="403">
                  <c:v>79.417139226491443</c:v>
                </c:pt>
                <c:pt idx="404">
                  <c:v>79.904196043575212</c:v>
                </c:pt>
                <c:pt idx="405">
                  <c:v>80.38541786716479</c:v>
                </c:pt>
                <c:pt idx="406">
                  <c:v>80.860815602476862</c:v>
                </c:pt>
                <c:pt idx="407">
                  <c:v>81.33040176236716</c:v>
                </c:pt>
                <c:pt idx="408">
                  <c:v>81.794190414065412</c:v>
                </c:pt>
                <c:pt idx="409">
                  <c:v>82.252197127101184</c:v>
                </c:pt>
                <c:pt idx="410">
                  <c:v>82.704438922376525</c:v>
                </c:pt>
                <c:pt idx="411">
                  <c:v>83.150934222345839</c:v>
                </c:pt>
                <c:pt idx="412">
                  <c:v>83.591702802266454</c:v>
                </c:pt>
                <c:pt idx="413">
                  <c:v>84.026765742486816</c:v>
                </c:pt>
                <c:pt idx="414">
                  <c:v>84.456145381742104</c:v>
                </c:pt>
                <c:pt idx="415">
                  <c:v>84.879865271429182</c:v>
                </c:pt>
                <c:pt idx="416">
                  <c:v>85.297950130835844</c:v>
                </c:pt>
                <c:pt idx="417">
                  <c:v>85.710425803300836</c:v>
                </c:pt>
                <c:pt idx="418">
                  <c:v>86.117319213283523</c:v>
                </c:pt>
                <c:pt idx="419">
                  <c:v>86.518658324323056</c:v>
                </c:pt>
                <c:pt idx="420">
                  <c:v>86.914472097869407</c:v>
                </c:pt>
                <c:pt idx="421">
                  <c:v>87.304790452969101</c:v>
                </c:pt>
                <c:pt idx="422">
                  <c:v>87.68964422679025</c:v>
                </c:pt>
                <c:pt idx="423">
                  <c:v>88.069065135972252</c:v>
                </c:pt>
                <c:pt idx="424">
                  <c:v>88.44308573878692</c:v>
                </c:pt>
                <c:pt idx="425">
                  <c:v>88.811739398097984</c:v>
                </c:pt>
                <c:pt idx="426">
                  <c:v>89.175060245107488</c:v>
                </c:pt>
                <c:pt idx="427">
                  <c:v>89.533083143877406</c:v>
                </c:pt>
                <c:pt idx="428">
                  <c:v>89.885843656616274</c:v>
                </c:pt>
                <c:pt idx="429">
                  <c:v>90.233378009720312</c:v>
                </c:pt>
                <c:pt idx="430">
                  <c:v>90.575723060559483</c:v>
                </c:pt>
                <c:pt idx="431">
                  <c:v>90.912916264999311</c:v>
                </c:pt>
                <c:pt idx="432">
                  <c:v>91.244995645648999</c:v>
                </c:pt>
                <c:pt idx="433">
                  <c:v>91.571999760827694</c:v>
                </c:pt>
                <c:pt idx="434">
                  <c:v>91.893967674239974</c:v>
                </c:pt>
                <c:pt idx="435">
                  <c:v>92.210938925352337</c:v>
                </c:pt>
                <c:pt idx="436">
                  <c:v>92.522953500462677</c:v>
                </c:pt>
                <c:pt idx="437">
                  <c:v>92.830051804454527</c:v>
                </c:pt>
                <c:pt idx="438">
                  <c:v>93.132274633228207</c:v>
                </c:pt>
                <c:pt idx="439">
                  <c:v>93.429663146801033</c:v>
                </c:pt>
                <c:pt idx="440">
                  <c:v>93.72225884306863</c:v>
                </c:pt>
                <c:pt idx="441">
                  <c:v>94.010103532219802</c:v>
                </c:pt>
                <c:pt idx="442">
                  <c:v>94.293239311796881</c:v>
                </c:pt>
                <c:pt idx="443">
                  <c:v>94.571708542394006</c:v>
                </c:pt>
                <c:pt idx="444">
                  <c:v>94.845553823985441</c:v>
                </c:pt>
                <c:pt idx="445">
                  <c:v>95.11481797287604</c:v>
                </c:pt>
                <c:pt idx="446">
                  <c:v>95.379543999266218</c:v>
                </c:pt>
                <c:pt idx="447">
                  <c:v>95.639775085423423</c:v>
                </c:pt>
                <c:pt idx="448">
                  <c:v>95.895554564452112</c:v>
                </c:pt>
                <c:pt idx="449">
                  <c:v>96.146925899654363</c:v>
                </c:pt>
                <c:pt idx="450">
                  <c:v>96.39393266447334</c:v>
                </c:pt>
                <c:pt idx="451">
                  <c:v>96.636618523010824</c:v>
                </c:pt>
                <c:pt idx="452">
                  <c:v>96.875027211111743</c:v>
                </c:pt>
                <c:pt idx="453">
                  <c:v>97.10920251800664</c:v>
                </c:pt>
                <c:pt idx="454">
                  <c:v>97.33918826850423</c:v>
                </c:pt>
                <c:pt idx="455">
                  <c:v>97.565028305726017</c:v>
                </c:pt>
                <c:pt idx="456">
                  <c:v>97.78676647437419</c:v>
                </c:pt>
                <c:pt idx="457">
                  <c:v>98.004446604524915</c:v>
                </c:pt>
                <c:pt idx="458">
                  <c:v>98.218112495938328</c:v>
                </c:pt>
                <c:pt idx="459">
                  <c:v>98.427807902877021</c:v>
                </c:pt>
                <c:pt idx="460">
                  <c:v>98.633576519424551</c:v>
                </c:pt>
                <c:pt idx="461">
                  <c:v>98.835461965295437</c:v>
                </c:pt>
                <c:pt idx="462">
                  <c:v>99.033507772128218</c:v>
                </c:pt>
                <c:pt idx="463">
                  <c:v>99.227757370253073</c:v>
                </c:pt>
                <c:pt idx="464">
                  <c:v>99.418254075925574</c:v>
                </c:pt>
                <c:pt idx="465">
                  <c:v>99.605041079017866</c:v>
                </c:pt>
                <c:pt idx="466">
                  <c:v>99.78816143115904</c:v>
                </c:pt>
                <c:pt idx="467">
                  <c:v>99.967658034315861</c:v>
                </c:pt>
                <c:pt idx="468">
                  <c:v>100.1435736298057</c:v>
                </c:pt>
                <c:pt idx="469">
                  <c:v>100.31595078773293</c:v>
                </c:pt>
                <c:pt idx="470">
                  <c:v>100.48483189684042</c:v>
                </c:pt>
                <c:pt idx="471">
                  <c:v>100.65025915476774</c:v>
                </c:pt>
                <c:pt idx="472">
                  <c:v>100.81227455870754</c:v>
                </c:pt>
                <c:pt idx="473">
                  <c:v>100.97091989645186</c:v>
                </c:pt>
                <c:pt idx="474">
                  <c:v>101.12623673781991</c:v>
                </c:pt>
                <c:pt idx="475">
                  <c:v>101.27826642645924</c:v>
                </c:pt>
                <c:pt idx="476">
                  <c:v>101.42705007201181</c:v>
                </c:pt>
                <c:pt idx="477">
                  <c:v>101.57262854263676</c:v>
                </c:pt>
                <c:pt idx="478">
                  <c:v>101.71504245788226</c:v>
                </c:pt>
                <c:pt idx="479">
                  <c:v>101.85433218189748</c:v>
                </c:pt>
                <c:pt idx="480">
                  <c:v>101.99053781697758</c:v>
                </c:pt>
                <c:pt idx="481">
                  <c:v>102.12369919743311</c:v>
                </c:pt>
                <c:pt idx="482">
                  <c:v>102.25385588377634</c:v>
                </c:pt>
                <c:pt idx="483">
                  <c:v>102.38104715721661</c:v>
                </c:pt>
                <c:pt idx="484">
                  <c:v>102.50531201445693</c:v>
                </c:pt>
                <c:pt idx="485">
                  <c:v>102.6266891627842</c:v>
                </c:pt>
                <c:pt idx="486">
                  <c:v>102.74521701544582</c:v>
                </c:pt>
                <c:pt idx="487">
                  <c:v>102.86093368730457</c:v>
                </c:pt>
                <c:pt idx="488">
                  <c:v>102.97387699076522</c:v>
                </c:pt>
                <c:pt idx="489">
                  <c:v>103.08408443196484</c:v>
                </c:pt>
                <c:pt idx="490">
                  <c:v>103.19159320722011</c:v>
                </c:pt>
                <c:pt idx="491">
                  <c:v>103.29644019972447</c:v>
                </c:pt>
                <c:pt idx="492">
                  <c:v>103.3986619764878</c:v>
                </c:pt>
                <c:pt idx="493">
                  <c:v>103.49829478551233</c:v>
                </c:pt>
                <c:pt idx="494">
                  <c:v>103.59537455319733</c:v>
                </c:pt>
                <c:pt idx="495">
                  <c:v>103.68993688196656</c:v>
                </c:pt>
                <c:pt idx="496">
                  <c:v>103.78201704811127</c:v>
                </c:pt>
                <c:pt idx="497">
                  <c:v>103.87164999984286</c:v>
                </c:pt>
                <c:pt idx="498">
                  <c:v>103.95887035554829</c:v>
                </c:pt>
                <c:pt idx="499">
                  <c:v>104.04371240224259</c:v>
                </c:pt>
                <c:pt idx="500">
                  <c:v>104.12621009421173</c:v>
                </c:pt>
                <c:pt idx="501">
                  <c:v>104.20639705184009</c:v>
                </c:pt>
                <c:pt idx="502">
                  <c:v>104.28430656061674</c:v>
                </c:pt>
                <c:pt idx="503">
                  <c:v>104.35997157031449</c:v>
                </c:pt>
                <c:pt idx="504">
                  <c:v>104.43342469433588</c:v>
                </c:pt>
                <c:pt idx="505">
                  <c:v>104.50469820922105</c:v>
                </c:pt>
                <c:pt idx="506">
                  <c:v>104.5738240543112</c:v>
                </c:pt>
                <c:pt idx="507">
                  <c:v>104.64083383156314</c:v>
                </c:pt>
                <c:pt idx="508">
                  <c:v>104.70575880550879</c:v>
                </c:pt>
                <c:pt idx="509">
                  <c:v>104.76862990335528</c:v>
                </c:pt>
                <c:pt idx="510">
                  <c:v>104.82947771521981</c:v>
                </c:pt>
                <c:pt idx="511">
                  <c:v>104.8883324944951</c:v>
                </c:pt>
                <c:pt idx="512">
                  <c:v>104.9452241583399</c:v>
                </c:pt>
                <c:pt idx="513">
                  <c:v>105.00018228829025</c:v>
                </c:pt>
                <c:pt idx="514">
                  <c:v>105.0532361309868</c:v>
                </c:pt>
                <c:pt idx="515">
                  <c:v>105.10441459901348</c:v>
                </c:pt>
                <c:pt idx="516">
                  <c:v>105.15374627184336</c:v>
                </c:pt>
                <c:pt idx="517">
                  <c:v>105.15379376907907</c:v>
                </c:pt>
                <c:pt idx="518">
                  <c:v>105.1538412645267</c:v>
                </c:pt>
                <c:pt idx="519">
                  <c:v>105.15388875818633</c:v>
                </c:pt>
                <c:pt idx="520">
                  <c:v>105.15393625005792</c:v>
                </c:pt>
                <c:pt idx="521">
                  <c:v>105.15398374014154</c:v>
                </c:pt>
                <c:pt idx="522">
                  <c:v>105.1540312284372</c:v>
                </c:pt>
                <c:pt idx="523">
                  <c:v>105.15407871494496</c:v>
                </c:pt>
                <c:pt idx="524">
                  <c:v>105.15412619966479</c:v>
                </c:pt>
                <c:pt idx="525">
                  <c:v>105.15417368259678</c:v>
                </c:pt>
                <c:pt idx="526">
                  <c:v>105.15422116374091</c:v>
                </c:pt>
                <c:pt idx="527">
                  <c:v>105.15426864309723</c:v>
                </c:pt>
                <c:pt idx="528">
                  <c:v>105.15431612066575</c:v>
                </c:pt>
                <c:pt idx="529">
                  <c:v>105.15436359644652</c:v>
                </c:pt>
                <c:pt idx="530">
                  <c:v>105.15441107043956</c:v>
                </c:pt>
                <c:pt idx="531">
                  <c:v>105.15445854264489</c:v>
                </c:pt>
                <c:pt idx="532">
                  <c:v>105.15450601306256</c:v>
                </c:pt>
                <c:pt idx="533">
                  <c:v>105.15455348169255</c:v>
                </c:pt>
                <c:pt idx="534">
                  <c:v>105.15460094853492</c:v>
                </c:pt>
                <c:pt idx="535">
                  <c:v>105.15464841358973</c:v>
                </c:pt>
                <c:pt idx="536">
                  <c:v>105.15469587685692</c:v>
                </c:pt>
                <c:pt idx="537">
                  <c:v>105.1547433383366</c:v>
                </c:pt>
                <c:pt idx="538">
                  <c:v>105.15479079802877</c:v>
                </c:pt>
                <c:pt idx="539">
                  <c:v>105.15483825593343</c:v>
                </c:pt>
                <c:pt idx="540">
                  <c:v>105.15488571205066</c:v>
                </c:pt>
                <c:pt idx="541">
                  <c:v>105.15493316638043</c:v>
                </c:pt>
                <c:pt idx="542">
                  <c:v>105.15498061892282</c:v>
                </c:pt>
                <c:pt idx="543">
                  <c:v>105.15502806967781</c:v>
                </c:pt>
                <c:pt idx="544">
                  <c:v>105.15507551864548</c:v>
                </c:pt>
                <c:pt idx="545">
                  <c:v>105.15512296582581</c:v>
                </c:pt>
                <c:pt idx="546">
                  <c:v>105.15517041121885</c:v>
                </c:pt>
                <c:pt idx="547">
                  <c:v>105.15521785482461</c:v>
                </c:pt>
                <c:pt idx="548">
                  <c:v>105.15526529664315</c:v>
                </c:pt>
                <c:pt idx="549">
                  <c:v>105.15531273667446</c:v>
                </c:pt>
                <c:pt idx="550">
                  <c:v>105.1553601749186</c:v>
                </c:pt>
                <c:pt idx="551">
                  <c:v>105.15540761137559</c:v>
                </c:pt>
                <c:pt idx="552">
                  <c:v>105.15545504604543</c:v>
                </c:pt>
                <c:pt idx="553">
                  <c:v>105.15550247892818</c:v>
                </c:pt>
                <c:pt idx="554">
                  <c:v>105.15554991002386</c:v>
                </c:pt>
                <c:pt idx="555">
                  <c:v>105.15559733933249</c:v>
                </c:pt>
                <c:pt idx="556">
                  <c:v>105.15564476685411</c:v>
                </c:pt>
                <c:pt idx="557">
                  <c:v>105.15569219258873</c:v>
                </c:pt>
                <c:pt idx="558">
                  <c:v>105.15573961653637</c:v>
                </c:pt>
                <c:pt idx="559">
                  <c:v>105.15578703869708</c:v>
                </c:pt>
                <c:pt idx="560">
                  <c:v>105.15583445907089</c:v>
                </c:pt>
                <c:pt idx="561">
                  <c:v>105.15588187765781</c:v>
                </c:pt>
                <c:pt idx="562">
                  <c:v>105.15592929445786</c:v>
                </c:pt>
                <c:pt idx="563">
                  <c:v>105.15597670947109</c:v>
                </c:pt>
                <c:pt idx="564">
                  <c:v>105.15602412269753</c:v>
                </c:pt>
                <c:pt idx="565">
                  <c:v>105.1560715341372</c:v>
                </c:pt>
                <c:pt idx="566">
                  <c:v>105.1561189437901</c:v>
                </c:pt>
                <c:pt idx="567">
                  <c:v>105.15616635165631</c:v>
                </c:pt>
                <c:pt idx="568">
                  <c:v>105.15621375773583</c:v>
                </c:pt>
                <c:pt idx="569">
                  <c:v>105.15626116202866</c:v>
                </c:pt>
                <c:pt idx="570">
                  <c:v>105.15630856453487</c:v>
                </c:pt>
                <c:pt idx="571">
                  <c:v>105.15635596525446</c:v>
                </c:pt>
                <c:pt idx="572">
                  <c:v>105.15640336418748</c:v>
                </c:pt>
                <c:pt idx="573">
                  <c:v>105.15645076133396</c:v>
                </c:pt>
                <c:pt idx="574">
                  <c:v>105.1564981566939</c:v>
                </c:pt>
                <c:pt idx="575">
                  <c:v>105.15654555026732</c:v>
                </c:pt>
                <c:pt idx="576">
                  <c:v>105.1565929420543</c:v>
                </c:pt>
                <c:pt idx="577">
                  <c:v>105.15664033205482</c:v>
                </c:pt>
                <c:pt idx="578">
                  <c:v>105.15668772026892</c:v>
                </c:pt>
                <c:pt idx="579">
                  <c:v>105.15673510669664</c:v>
                </c:pt>
                <c:pt idx="580">
                  <c:v>105.15678249133802</c:v>
                </c:pt>
                <c:pt idx="581">
                  <c:v>105.15682987419302</c:v>
                </c:pt>
                <c:pt idx="582">
                  <c:v>105.15687725526175</c:v>
                </c:pt>
                <c:pt idx="583">
                  <c:v>105.15692463454418</c:v>
                </c:pt>
                <c:pt idx="584">
                  <c:v>105.15697201204037</c:v>
                </c:pt>
                <c:pt idx="585">
                  <c:v>105.15701938775032</c:v>
                </c:pt>
                <c:pt idx="586">
                  <c:v>105.15706676167409</c:v>
                </c:pt>
                <c:pt idx="587">
                  <c:v>105.15711413381167</c:v>
                </c:pt>
                <c:pt idx="588">
                  <c:v>105.15716150416313</c:v>
                </c:pt>
                <c:pt idx="589">
                  <c:v>105.15720887272846</c:v>
                </c:pt>
                <c:pt idx="590">
                  <c:v>105.1572562395077</c:v>
                </c:pt>
                <c:pt idx="591">
                  <c:v>105.1573036045009</c:v>
                </c:pt>
                <c:pt idx="592">
                  <c:v>105.15735096770806</c:v>
                </c:pt>
                <c:pt idx="593">
                  <c:v>105.15739832912919</c:v>
                </c:pt>
                <c:pt idx="594">
                  <c:v>105.15744568876437</c:v>
                </c:pt>
                <c:pt idx="595">
                  <c:v>105.15749304661358</c:v>
                </c:pt>
                <c:pt idx="596">
                  <c:v>105.15754040267687</c:v>
                </c:pt>
                <c:pt idx="597">
                  <c:v>105.15758775695429</c:v>
                </c:pt>
                <c:pt idx="598">
                  <c:v>105.15763510944581</c:v>
                </c:pt>
                <c:pt idx="599">
                  <c:v>105.15768246015149</c:v>
                </c:pt>
                <c:pt idx="600">
                  <c:v>105.15772980907137</c:v>
                </c:pt>
                <c:pt idx="601">
                  <c:v>105.15777715620547</c:v>
                </c:pt>
                <c:pt idx="602">
                  <c:v>105.15782450155379</c:v>
                </c:pt>
                <c:pt idx="603">
                  <c:v>105.15787184511639</c:v>
                </c:pt>
                <c:pt idx="604">
                  <c:v>105.1579191868933</c:v>
                </c:pt>
                <c:pt idx="605">
                  <c:v>105.15796652688451</c:v>
                </c:pt>
                <c:pt idx="606">
                  <c:v>105.15801386509008</c:v>
                </c:pt>
                <c:pt idx="607">
                  <c:v>105.15806120151002</c:v>
                </c:pt>
                <c:pt idx="608">
                  <c:v>105.15810853614437</c:v>
                </c:pt>
                <c:pt idx="609">
                  <c:v>105.15815586899316</c:v>
                </c:pt>
                <c:pt idx="610">
                  <c:v>105.15820320005642</c:v>
                </c:pt>
                <c:pt idx="611">
                  <c:v>105.15825052933415</c:v>
                </c:pt>
                <c:pt idx="612">
                  <c:v>105.15829785682641</c:v>
                </c:pt>
                <c:pt idx="613">
                  <c:v>105.15834518253321</c:v>
                </c:pt>
                <c:pt idx="614">
                  <c:v>105.15839250645458</c:v>
                </c:pt>
                <c:pt idx="615">
                  <c:v>105.15843982859053</c:v>
                </c:pt>
                <c:pt idx="616">
                  <c:v>105.15848714894112</c:v>
                </c:pt>
                <c:pt idx="617">
                  <c:v>105.15853446750637</c:v>
                </c:pt>
                <c:pt idx="618">
                  <c:v>105.15858178428628</c:v>
                </c:pt>
                <c:pt idx="619">
                  <c:v>105.15862909928092</c:v>
                </c:pt>
                <c:pt idx="620">
                  <c:v>105.15867641249028</c:v>
                </c:pt>
                <c:pt idx="621">
                  <c:v>105.15872372391441</c:v>
                </c:pt>
                <c:pt idx="622">
                  <c:v>105.15877103355331</c:v>
                </c:pt>
                <c:pt idx="623">
                  <c:v>105.15881834140704</c:v>
                </c:pt>
                <c:pt idx="624">
                  <c:v>105.15886564747562</c:v>
                </c:pt>
                <c:pt idx="625">
                  <c:v>105.15891295175906</c:v>
                </c:pt>
                <c:pt idx="626">
                  <c:v>105.15896025425741</c:v>
                </c:pt>
                <c:pt idx="627">
                  <c:v>105.15900755497067</c:v>
                </c:pt>
                <c:pt idx="628">
                  <c:v>105.15905485389889</c:v>
                </c:pt>
                <c:pt idx="629">
                  <c:v>105.15910215104211</c:v>
                </c:pt>
                <c:pt idx="630">
                  <c:v>105.15914944640032</c:v>
                </c:pt>
                <c:pt idx="631">
                  <c:v>105.15919673997358</c:v>
                </c:pt>
                <c:pt idx="632">
                  <c:v>105.15924403176189</c:v>
                </c:pt>
                <c:pt idx="633">
                  <c:v>105.15929132176529</c:v>
                </c:pt>
                <c:pt idx="634">
                  <c:v>105.15933860998381</c:v>
                </c:pt>
                <c:pt idx="635">
                  <c:v>105.15938589641749</c:v>
                </c:pt>
                <c:pt idx="636">
                  <c:v>105.1594331810663</c:v>
                </c:pt>
                <c:pt idx="637">
                  <c:v>105.15948046393035</c:v>
                </c:pt>
                <c:pt idx="638">
                  <c:v>105.15952774500964</c:v>
                </c:pt>
                <c:pt idx="639">
                  <c:v>105.15957502430415</c:v>
                </c:pt>
                <c:pt idx="640">
                  <c:v>105.15962230181395</c:v>
                </c:pt>
                <c:pt idx="641">
                  <c:v>105.15966957753908</c:v>
                </c:pt>
                <c:pt idx="642">
                  <c:v>105.15971685147952</c:v>
                </c:pt>
                <c:pt idx="643">
                  <c:v>105.15976412363533</c:v>
                </c:pt>
                <c:pt idx="644">
                  <c:v>105.15981139400654</c:v>
                </c:pt>
                <c:pt idx="645">
                  <c:v>105.15985866259317</c:v>
                </c:pt>
                <c:pt idx="646">
                  <c:v>105.15990592939524</c:v>
                </c:pt>
                <c:pt idx="647">
                  <c:v>105.15995319441278</c:v>
                </c:pt>
                <c:pt idx="648">
                  <c:v>105.16000045764584</c:v>
                </c:pt>
                <c:pt idx="649">
                  <c:v>105.16004771909441</c:v>
                </c:pt>
                <c:pt idx="650">
                  <c:v>105.16009497875855</c:v>
                </c:pt>
                <c:pt idx="651">
                  <c:v>105.16014223663826</c:v>
                </c:pt>
                <c:pt idx="652">
                  <c:v>105.16018949273359</c:v>
                </c:pt>
                <c:pt idx="653">
                  <c:v>105.16023674704455</c:v>
                </c:pt>
                <c:pt idx="654">
                  <c:v>105.16028399957121</c:v>
                </c:pt>
                <c:pt idx="655">
                  <c:v>105.16033125031353</c:v>
                </c:pt>
                <c:pt idx="656">
                  <c:v>105.16037849927157</c:v>
                </c:pt>
                <c:pt idx="657">
                  <c:v>105.16042574644537</c:v>
                </c:pt>
                <c:pt idx="658">
                  <c:v>105.16047299183494</c:v>
                </c:pt>
                <c:pt idx="659">
                  <c:v>105.16052023544032</c:v>
                </c:pt>
                <c:pt idx="660">
                  <c:v>105.16056747726152</c:v>
                </c:pt>
                <c:pt idx="661">
                  <c:v>105.16061471729859</c:v>
                </c:pt>
                <c:pt idx="662">
                  <c:v>105.16066195555153</c:v>
                </c:pt>
                <c:pt idx="663">
                  <c:v>105.16070919202039</c:v>
                </c:pt>
                <c:pt idx="664">
                  <c:v>105.16075642670519</c:v>
                </c:pt>
                <c:pt idx="665">
                  <c:v>105.16080365960595</c:v>
                </c:pt>
                <c:pt idx="666">
                  <c:v>105.16085089072273</c:v>
                </c:pt>
                <c:pt idx="667">
                  <c:v>105.16089812005551</c:v>
                </c:pt>
                <c:pt idx="668">
                  <c:v>105.16094534760434</c:v>
                </c:pt>
                <c:pt idx="669">
                  <c:v>105.16099257336924</c:v>
                </c:pt>
                <c:pt idx="670">
                  <c:v>105.16103979735026</c:v>
                </c:pt>
                <c:pt idx="671">
                  <c:v>105.16108701954741</c:v>
                </c:pt>
                <c:pt idx="672">
                  <c:v>105.16113423996072</c:v>
                </c:pt>
                <c:pt idx="673">
                  <c:v>105.16118145859021</c:v>
                </c:pt>
                <c:pt idx="674">
                  <c:v>105.16122867543592</c:v>
                </c:pt>
                <c:pt idx="675">
                  <c:v>105.16127589049786</c:v>
                </c:pt>
                <c:pt idx="676">
                  <c:v>105.16132310377607</c:v>
                </c:pt>
                <c:pt idx="677">
                  <c:v>105.16137031527059</c:v>
                </c:pt>
                <c:pt idx="678">
                  <c:v>105.16141752498142</c:v>
                </c:pt>
                <c:pt idx="679">
                  <c:v>105.16146473290861</c:v>
                </c:pt>
                <c:pt idx="680">
                  <c:v>105.16151193905218</c:v>
                </c:pt>
                <c:pt idx="681">
                  <c:v>105.16155914341213</c:v>
                </c:pt>
                <c:pt idx="682">
                  <c:v>105.16160634598853</c:v>
                </c:pt>
                <c:pt idx="683">
                  <c:v>105.16165354678139</c:v>
                </c:pt>
                <c:pt idx="684">
                  <c:v>105.16170074579075</c:v>
                </c:pt>
                <c:pt idx="685">
                  <c:v>105.16174794301661</c:v>
                </c:pt>
                <c:pt idx="686">
                  <c:v>105.16179513845903</c:v>
                </c:pt>
                <c:pt idx="687">
                  <c:v>105.16184233211798</c:v>
                </c:pt>
                <c:pt idx="688">
                  <c:v>105.16188952399357</c:v>
                </c:pt>
                <c:pt idx="689">
                  <c:v>105.16193671408575</c:v>
                </c:pt>
                <c:pt idx="690">
                  <c:v>105.16198390239461</c:v>
                </c:pt>
                <c:pt idx="691">
                  <c:v>105.16203108892013</c:v>
                </c:pt>
                <c:pt idx="692">
                  <c:v>105.16207827366237</c:v>
                </c:pt>
                <c:pt idx="693">
                  <c:v>105.16212545662134</c:v>
                </c:pt>
                <c:pt idx="694">
                  <c:v>105.16217263779706</c:v>
                </c:pt>
                <c:pt idx="695">
                  <c:v>105.16221981718957</c:v>
                </c:pt>
                <c:pt idx="696">
                  <c:v>105.16226699479891</c:v>
                </c:pt>
                <c:pt idx="697">
                  <c:v>105.16231417062509</c:v>
                </c:pt>
                <c:pt idx="698">
                  <c:v>105.16236134466814</c:v>
                </c:pt>
                <c:pt idx="699">
                  <c:v>105.16240851692808</c:v>
                </c:pt>
                <c:pt idx="700">
                  <c:v>105.16245568740496</c:v>
                </c:pt>
                <c:pt idx="701">
                  <c:v>105.16250285609878</c:v>
                </c:pt>
                <c:pt idx="702">
                  <c:v>105.16255002300959</c:v>
                </c:pt>
                <c:pt idx="703">
                  <c:v>105.1625971881374</c:v>
                </c:pt>
                <c:pt idx="704">
                  <c:v>105.16264435148223</c:v>
                </c:pt>
                <c:pt idx="705">
                  <c:v>105.16269151304415</c:v>
                </c:pt>
                <c:pt idx="706">
                  <c:v>105.16273867282315</c:v>
                </c:pt>
                <c:pt idx="707">
                  <c:v>105.16278583081927</c:v>
                </c:pt>
                <c:pt idx="708">
                  <c:v>105.16283298703252</c:v>
                </c:pt>
                <c:pt idx="709">
                  <c:v>105.16288014146296</c:v>
                </c:pt>
                <c:pt idx="710">
                  <c:v>105.16292729411059</c:v>
                </c:pt>
                <c:pt idx="711">
                  <c:v>105.16297444497545</c:v>
                </c:pt>
                <c:pt idx="712">
                  <c:v>105.16302159405755</c:v>
                </c:pt>
                <c:pt idx="713">
                  <c:v>105.16306874135695</c:v>
                </c:pt>
                <c:pt idx="714">
                  <c:v>105.16311588687365</c:v>
                </c:pt>
                <c:pt idx="715">
                  <c:v>105.16316303060769</c:v>
                </c:pt>
                <c:pt idx="716">
                  <c:v>105.16321017255908</c:v>
                </c:pt>
                <c:pt idx="717">
                  <c:v>105.16325731272788</c:v>
                </c:pt>
                <c:pt idx="718">
                  <c:v>105.16330445111409</c:v>
                </c:pt>
                <c:pt idx="719">
                  <c:v>105.16335158771776</c:v>
                </c:pt>
                <c:pt idx="720">
                  <c:v>105.16339872253889</c:v>
                </c:pt>
                <c:pt idx="721">
                  <c:v>105.16344585557752</c:v>
                </c:pt>
                <c:pt idx="722">
                  <c:v>105.16349298683367</c:v>
                </c:pt>
                <c:pt idx="723">
                  <c:v>105.16354011630739</c:v>
                </c:pt>
                <c:pt idx="724">
                  <c:v>105.16358724399871</c:v>
                </c:pt>
                <c:pt idx="725">
                  <c:v>105.1636343699076</c:v>
                </c:pt>
                <c:pt idx="726">
                  <c:v>105.16368149403415</c:v>
                </c:pt>
                <c:pt idx="727">
                  <c:v>105.16372861637835</c:v>
                </c:pt>
                <c:pt idx="728">
                  <c:v>105.16377573694027</c:v>
                </c:pt>
                <c:pt idx="729">
                  <c:v>105.16382285571987</c:v>
                </c:pt>
                <c:pt idx="730">
                  <c:v>105.16386997271725</c:v>
                </c:pt>
                <c:pt idx="731">
                  <c:v>105.16391708793239</c:v>
                </c:pt>
                <c:pt idx="732">
                  <c:v>105.16396420136532</c:v>
                </c:pt>
                <c:pt idx="733">
                  <c:v>105.16401131301609</c:v>
                </c:pt>
                <c:pt idx="734">
                  <c:v>105.16405842288471</c:v>
                </c:pt>
                <c:pt idx="735">
                  <c:v>105.16410553097123</c:v>
                </c:pt>
                <c:pt idx="736">
                  <c:v>105.16415263727563</c:v>
                </c:pt>
                <c:pt idx="737">
                  <c:v>105.164199741798</c:v>
                </c:pt>
                <c:pt idx="738">
                  <c:v>105.16424684453831</c:v>
                </c:pt>
                <c:pt idx="739">
                  <c:v>105.16429394549664</c:v>
                </c:pt>
                <c:pt idx="740">
                  <c:v>105.16434104467298</c:v>
                </c:pt>
                <c:pt idx="741">
                  <c:v>105.16438814206737</c:v>
                </c:pt>
                <c:pt idx="742">
                  <c:v>105.16443523767983</c:v>
                </c:pt>
                <c:pt idx="743">
                  <c:v>105.16448233151038</c:v>
                </c:pt>
                <c:pt idx="744">
                  <c:v>105.16452942355907</c:v>
                </c:pt>
                <c:pt idx="745">
                  <c:v>105.16457651382592</c:v>
                </c:pt>
                <c:pt idx="746">
                  <c:v>105.16462360231095</c:v>
                </c:pt>
                <c:pt idx="747">
                  <c:v>105.1646706890142</c:v>
                </c:pt>
                <c:pt idx="748">
                  <c:v>105.16471777393569</c:v>
                </c:pt>
                <c:pt idx="749">
                  <c:v>105.16476485707544</c:v>
                </c:pt>
                <c:pt idx="750">
                  <c:v>105.16481193843349</c:v>
                </c:pt>
                <c:pt idx="751">
                  <c:v>105.16485901800985</c:v>
                </c:pt>
                <c:pt idx="752">
                  <c:v>105.16490609580457</c:v>
                </c:pt>
                <c:pt idx="753">
                  <c:v>105.16495317181766</c:v>
                </c:pt>
                <c:pt idx="754">
                  <c:v>105.16500024604915</c:v>
                </c:pt>
                <c:pt idx="755">
                  <c:v>105.16504731849908</c:v>
                </c:pt>
                <c:pt idx="756">
                  <c:v>105.16509438916746</c:v>
                </c:pt>
                <c:pt idx="757">
                  <c:v>105.16514145805434</c:v>
                </c:pt>
                <c:pt idx="758">
                  <c:v>105.16518852515972</c:v>
                </c:pt>
                <c:pt idx="759">
                  <c:v>105.16523559048363</c:v>
                </c:pt>
                <c:pt idx="760">
                  <c:v>105.16528265402611</c:v>
                </c:pt>
                <c:pt idx="761">
                  <c:v>105.16532971578719</c:v>
                </c:pt>
                <c:pt idx="762">
                  <c:v>105.1653767757669</c:v>
                </c:pt>
                <c:pt idx="763">
                  <c:v>105.16542383396526</c:v>
                </c:pt>
                <c:pt idx="764">
                  <c:v>105.1654708903823</c:v>
                </c:pt>
                <c:pt idx="765">
                  <c:v>105.16551794501802</c:v>
                </c:pt>
                <c:pt idx="766">
                  <c:v>105.16556499787249</c:v>
                </c:pt>
                <c:pt idx="767">
                  <c:v>105.16561204894572</c:v>
                </c:pt>
                <c:pt idx="768">
                  <c:v>105.16565909823773</c:v>
                </c:pt>
                <c:pt idx="769">
                  <c:v>105.16570614574856</c:v>
                </c:pt>
                <c:pt idx="770">
                  <c:v>105.16575319147823</c:v>
                </c:pt>
                <c:pt idx="771">
                  <c:v>105.16580023542676</c:v>
                </c:pt>
                <c:pt idx="772">
                  <c:v>105.16584727759418</c:v>
                </c:pt>
                <c:pt idx="773">
                  <c:v>105.16589431798054</c:v>
                </c:pt>
                <c:pt idx="774">
                  <c:v>105.16594135658585</c:v>
                </c:pt>
                <c:pt idx="775">
                  <c:v>105.16598839341013</c:v>
                </c:pt>
                <c:pt idx="776">
                  <c:v>105.16603542845343</c:v>
                </c:pt>
                <c:pt idx="777">
                  <c:v>105.16608246171573</c:v>
                </c:pt>
                <c:pt idx="778">
                  <c:v>105.1661294931971</c:v>
                </c:pt>
                <c:pt idx="779">
                  <c:v>105.16617652289759</c:v>
                </c:pt>
                <c:pt idx="780">
                  <c:v>105.16622355081716</c:v>
                </c:pt>
                <c:pt idx="781">
                  <c:v>105.16627057695588</c:v>
                </c:pt>
                <c:pt idx="782">
                  <c:v>105.16631760131378</c:v>
                </c:pt>
                <c:pt idx="783">
                  <c:v>105.16636462389087</c:v>
                </c:pt>
                <c:pt idx="784">
                  <c:v>105.16641164468717</c:v>
                </c:pt>
                <c:pt idx="785">
                  <c:v>105.16645866370274</c:v>
                </c:pt>
                <c:pt idx="786">
                  <c:v>105.16650568093759</c:v>
                </c:pt>
                <c:pt idx="787">
                  <c:v>105.16655269639173</c:v>
                </c:pt>
                <c:pt idx="788">
                  <c:v>105.16659971006521</c:v>
                </c:pt>
                <c:pt idx="789">
                  <c:v>105.16664672195807</c:v>
                </c:pt>
                <c:pt idx="790">
                  <c:v>105.1666937320703</c:v>
                </c:pt>
                <c:pt idx="791">
                  <c:v>105.16674074040193</c:v>
                </c:pt>
                <c:pt idx="792">
                  <c:v>105.16678774695303</c:v>
                </c:pt>
                <c:pt idx="793">
                  <c:v>105.1668347517236</c:v>
                </c:pt>
                <c:pt idx="794">
                  <c:v>105.16688175471366</c:v>
                </c:pt>
                <c:pt idx="795">
                  <c:v>105.16692875592324</c:v>
                </c:pt>
                <c:pt idx="796">
                  <c:v>105.16697575535237</c:v>
                </c:pt>
                <c:pt idx="797">
                  <c:v>105.16702275300108</c:v>
                </c:pt>
                <c:pt idx="798">
                  <c:v>105.16706974886941</c:v>
                </c:pt>
                <c:pt idx="799">
                  <c:v>105.16711674295736</c:v>
                </c:pt>
                <c:pt idx="800">
                  <c:v>105.16716373526496</c:v>
                </c:pt>
                <c:pt idx="801">
                  <c:v>105.16721072579227</c:v>
                </c:pt>
                <c:pt idx="802">
                  <c:v>105.1672577145393</c:v>
                </c:pt>
                <c:pt idx="803">
                  <c:v>105.16730470150607</c:v>
                </c:pt>
                <c:pt idx="804">
                  <c:v>105.1673516866926</c:v>
                </c:pt>
                <c:pt idx="805">
                  <c:v>105.16739867009892</c:v>
                </c:pt>
                <c:pt idx="806">
                  <c:v>105.16744565172509</c:v>
                </c:pt>
                <c:pt idx="807">
                  <c:v>105.16749263157109</c:v>
                </c:pt>
                <c:pt idx="808">
                  <c:v>105.16753960963699</c:v>
                </c:pt>
                <c:pt idx="809">
                  <c:v>105.16758658592278</c:v>
                </c:pt>
                <c:pt idx="810">
                  <c:v>105.16763356042851</c:v>
                </c:pt>
                <c:pt idx="811">
                  <c:v>105.16768053315421</c:v>
                </c:pt>
                <c:pt idx="812">
                  <c:v>105.16772750409989</c:v>
                </c:pt>
                <c:pt idx="813">
                  <c:v>105.16777447326561</c:v>
                </c:pt>
                <c:pt idx="814">
                  <c:v>105.16782144065135</c:v>
                </c:pt>
                <c:pt idx="815">
                  <c:v>105.16786840625717</c:v>
                </c:pt>
                <c:pt idx="816">
                  <c:v>105.16791537008308</c:v>
                </c:pt>
                <c:pt idx="817">
                  <c:v>105.16796233212912</c:v>
                </c:pt>
                <c:pt idx="818">
                  <c:v>105.16800929239531</c:v>
                </c:pt>
                <c:pt idx="819">
                  <c:v>105.16805625088169</c:v>
                </c:pt>
                <c:pt idx="820">
                  <c:v>105.16810320758829</c:v>
                </c:pt>
                <c:pt idx="821">
                  <c:v>105.1681501625151</c:v>
                </c:pt>
                <c:pt idx="822">
                  <c:v>105.1681971156622</c:v>
                </c:pt>
                <c:pt idx="823">
                  <c:v>105.16824406702958</c:v>
                </c:pt>
                <c:pt idx="824">
                  <c:v>105.16829101661726</c:v>
                </c:pt>
                <c:pt idx="825">
                  <c:v>105.16833796442531</c:v>
                </c:pt>
                <c:pt idx="826">
                  <c:v>105.16838491045371</c:v>
                </c:pt>
                <c:pt idx="827">
                  <c:v>105.16843185470252</c:v>
                </c:pt>
                <c:pt idx="828">
                  <c:v>105.16847879717174</c:v>
                </c:pt>
                <c:pt idx="829">
                  <c:v>105.16852573786143</c:v>
                </c:pt>
                <c:pt idx="830">
                  <c:v>105.1685726767716</c:v>
                </c:pt>
                <c:pt idx="831">
                  <c:v>105.16861961390229</c:v>
                </c:pt>
                <c:pt idx="832">
                  <c:v>105.16866654925352</c:v>
                </c:pt>
                <c:pt idx="833">
                  <c:v>105.1687134828253</c:v>
                </c:pt>
                <c:pt idx="834">
                  <c:v>105.16876041461768</c:v>
                </c:pt>
                <c:pt idx="835">
                  <c:v>105.16880734463066</c:v>
                </c:pt>
                <c:pt idx="836">
                  <c:v>105.16885427286431</c:v>
                </c:pt>
                <c:pt idx="837">
                  <c:v>105.16890119931863</c:v>
                </c:pt>
                <c:pt idx="838">
                  <c:v>105.16894812399363</c:v>
                </c:pt>
                <c:pt idx="839">
                  <c:v>105.16899504688936</c:v>
                </c:pt>
                <c:pt idx="840">
                  <c:v>105.16904196800586</c:v>
                </c:pt>
                <c:pt idx="841">
                  <c:v>105.16908888734314</c:v>
                </c:pt>
                <c:pt idx="842">
                  <c:v>105.16913580490122</c:v>
                </c:pt>
                <c:pt idx="843">
                  <c:v>105.16918272068015</c:v>
                </c:pt>
                <c:pt idx="844">
                  <c:v>105.16922963467992</c:v>
                </c:pt>
                <c:pt idx="845">
                  <c:v>105.1692765469006</c:v>
                </c:pt>
                <c:pt idx="846">
                  <c:v>105.1693234573422</c:v>
                </c:pt>
                <c:pt idx="847">
                  <c:v>105.16937036600476</c:v>
                </c:pt>
                <c:pt idx="848">
                  <c:v>105.16941727288827</c:v>
                </c:pt>
                <c:pt idx="849">
                  <c:v>105.16946417799279</c:v>
                </c:pt>
                <c:pt idx="850">
                  <c:v>105.16951108131835</c:v>
                </c:pt>
                <c:pt idx="851">
                  <c:v>105.16955798286493</c:v>
                </c:pt>
                <c:pt idx="852">
                  <c:v>105.16960488263263</c:v>
                </c:pt>
                <c:pt idx="853">
                  <c:v>105.16965178062142</c:v>
                </c:pt>
                <c:pt idx="854">
                  <c:v>105.16969867683135</c:v>
                </c:pt>
                <c:pt idx="855">
                  <c:v>105.16974557126244</c:v>
                </c:pt>
                <c:pt idx="856">
                  <c:v>105.16979246391472</c:v>
                </c:pt>
                <c:pt idx="857">
                  <c:v>105.16983935478824</c:v>
                </c:pt>
                <c:pt idx="858">
                  <c:v>105.16988624388298</c:v>
                </c:pt>
                <c:pt idx="859">
                  <c:v>105.169933131199</c:v>
                </c:pt>
                <c:pt idx="860">
                  <c:v>105.16998001673635</c:v>
                </c:pt>
                <c:pt idx="861">
                  <c:v>105.170026900495</c:v>
                </c:pt>
                <c:pt idx="862">
                  <c:v>105.17007378247503</c:v>
                </c:pt>
                <c:pt idx="863">
                  <c:v>105.17012066267641</c:v>
                </c:pt>
                <c:pt idx="864">
                  <c:v>105.17016754109922</c:v>
                </c:pt>
                <c:pt idx="865">
                  <c:v>105.17021441774347</c:v>
                </c:pt>
                <c:pt idx="866">
                  <c:v>105.17026129260917</c:v>
                </c:pt>
                <c:pt idx="867">
                  <c:v>105.17030816569638</c:v>
                </c:pt>
                <c:pt idx="868">
                  <c:v>105.17035503700511</c:v>
                </c:pt>
                <c:pt idx="869">
                  <c:v>105.17040190653539</c:v>
                </c:pt>
                <c:pt idx="870">
                  <c:v>105.17044877428724</c:v>
                </c:pt>
                <c:pt idx="871">
                  <c:v>105.17049564026067</c:v>
                </c:pt>
                <c:pt idx="872">
                  <c:v>105.17054250445575</c:v>
                </c:pt>
                <c:pt idx="873">
                  <c:v>105.17058936687249</c:v>
                </c:pt>
                <c:pt idx="874">
                  <c:v>105.17063622751091</c:v>
                </c:pt>
                <c:pt idx="875">
                  <c:v>105.17068308637104</c:v>
                </c:pt>
                <c:pt idx="876">
                  <c:v>105.1707299434529</c:v>
                </c:pt>
                <c:pt idx="877">
                  <c:v>105.17077679875655</c:v>
                </c:pt>
                <c:pt idx="878">
                  <c:v>105.17082365228197</c:v>
                </c:pt>
                <c:pt idx="879">
                  <c:v>105.17087050402921</c:v>
                </c:pt>
                <c:pt idx="880">
                  <c:v>105.17091735399831</c:v>
                </c:pt>
                <c:pt idx="881">
                  <c:v>105.17096420218928</c:v>
                </c:pt>
                <c:pt idx="882">
                  <c:v>105.17101104860214</c:v>
                </c:pt>
                <c:pt idx="883">
                  <c:v>105.17105789323696</c:v>
                </c:pt>
                <c:pt idx="884">
                  <c:v>105.17110473609372</c:v>
                </c:pt>
                <c:pt idx="885">
                  <c:v>105.17115157717245</c:v>
                </c:pt>
                <c:pt idx="886">
                  <c:v>105.17119841647323</c:v>
                </c:pt>
                <c:pt idx="887">
                  <c:v>105.17124525399602</c:v>
                </c:pt>
                <c:pt idx="888">
                  <c:v>105.17129208974087</c:v>
                </c:pt>
                <c:pt idx="889">
                  <c:v>105.17133892370784</c:v>
                </c:pt>
                <c:pt idx="890">
                  <c:v>105.17138575589692</c:v>
                </c:pt>
                <c:pt idx="891">
                  <c:v>105.17143258630813</c:v>
                </c:pt>
                <c:pt idx="892">
                  <c:v>105.17147941494154</c:v>
                </c:pt>
                <c:pt idx="893">
                  <c:v>105.17152624179715</c:v>
                </c:pt>
                <c:pt idx="894">
                  <c:v>105.17157306687498</c:v>
                </c:pt>
                <c:pt idx="895">
                  <c:v>105.17161989017508</c:v>
                </c:pt>
                <c:pt idx="896">
                  <c:v>105.17166671169745</c:v>
                </c:pt>
                <c:pt idx="897">
                  <c:v>105.17171353144215</c:v>
                </c:pt>
                <c:pt idx="898">
                  <c:v>105.17176034940918</c:v>
                </c:pt>
                <c:pt idx="899">
                  <c:v>105.17180716559857</c:v>
                </c:pt>
                <c:pt idx="900">
                  <c:v>105.17185398001035</c:v>
                </c:pt>
                <c:pt idx="901">
                  <c:v>105.17190079264456</c:v>
                </c:pt>
                <c:pt idx="902">
                  <c:v>105.17194760350122</c:v>
                </c:pt>
                <c:pt idx="903">
                  <c:v>105.17199441258036</c:v>
                </c:pt>
                <c:pt idx="904">
                  <c:v>105.172041219882</c:v>
                </c:pt>
                <c:pt idx="905">
                  <c:v>105.17208802540617</c:v>
                </c:pt>
                <c:pt idx="906">
                  <c:v>105.17213482915291</c:v>
                </c:pt>
                <c:pt idx="907">
                  <c:v>105.17218163112221</c:v>
                </c:pt>
                <c:pt idx="908">
                  <c:v>105.17222843131414</c:v>
                </c:pt>
                <c:pt idx="909">
                  <c:v>105.17227522972871</c:v>
                </c:pt>
                <c:pt idx="910">
                  <c:v>105.17232202636593</c:v>
                </c:pt>
                <c:pt idx="911">
                  <c:v>105.17236882122586</c:v>
                </c:pt>
                <c:pt idx="912">
                  <c:v>105.17241561430851</c:v>
                </c:pt>
                <c:pt idx="913">
                  <c:v>105.17246240561391</c:v>
                </c:pt>
                <c:pt idx="914">
                  <c:v>105.17250919514208</c:v>
                </c:pt>
                <c:pt idx="915">
                  <c:v>105.17255598289307</c:v>
                </c:pt>
                <c:pt idx="916">
                  <c:v>105.17260276886688</c:v>
                </c:pt>
                <c:pt idx="917">
                  <c:v>105.17264955306355</c:v>
                </c:pt>
                <c:pt idx="918">
                  <c:v>105.17269633548311</c:v>
                </c:pt>
                <c:pt idx="919">
                  <c:v>105.17274311612559</c:v>
                </c:pt>
                <c:pt idx="920">
                  <c:v>105.17278989499098</c:v>
                </c:pt>
                <c:pt idx="921">
                  <c:v>105.17283667207937</c:v>
                </c:pt>
                <c:pt idx="922">
                  <c:v>105.17288344739073</c:v>
                </c:pt>
                <c:pt idx="923">
                  <c:v>105.17293022092511</c:v>
                </c:pt>
                <c:pt idx="924">
                  <c:v>105.17297699268256</c:v>
                </c:pt>
                <c:pt idx="925">
                  <c:v>105.17302376266308</c:v>
                </c:pt>
                <c:pt idx="926">
                  <c:v>105.17307053086671</c:v>
                </c:pt>
                <c:pt idx="927">
                  <c:v>105.17311729729344</c:v>
                </c:pt>
                <c:pt idx="928">
                  <c:v>105.17316406194337</c:v>
                </c:pt>
                <c:pt idx="929">
                  <c:v>105.17321082481646</c:v>
                </c:pt>
                <c:pt idx="930">
                  <c:v>105.17325758591276</c:v>
                </c:pt>
                <c:pt idx="931">
                  <c:v>105.17330434523232</c:v>
                </c:pt>
                <c:pt idx="932">
                  <c:v>105.17335110277514</c:v>
                </c:pt>
                <c:pt idx="933">
                  <c:v>105.17339785854126</c:v>
                </c:pt>
                <c:pt idx="934">
                  <c:v>105.1734446125307</c:v>
                </c:pt>
                <c:pt idx="935">
                  <c:v>105.17349136474348</c:v>
                </c:pt>
                <c:pt idx="936">
                  <c:v>105.17353811517965</c:v>
                </c:pt>
                <c:pt idx="937">
                  <c:v>105.17358486383922</c:v>
                </c:pt>
                <c:pt idx="938">
                  <c:v>105.17363161072223</c:v>
                </c:pt>
                <c:pt idx="939">
                  <c:v>105.1736783558287</c:v>
                </c:pt>
                <c:pt idx="940">
                  <c:v>105.17372509915864</c:v>
                </c:pt>
                <c:pt idx="941">
                  <c:v>105.17377184071209</c:v>
                </c:pt>
                <c:pt idx="942">
                  <c:v>105.1738185804891</c:v>
                </c:pt>
                <c:pt idx="943">
                  <c:v>105.17386531848967</c:v>
                </c:pt>
                <c:pt idx="944">
                  <c:v>105.17391205471384</c:v>
                </c:pt>
                <c:pt idx="945">
                  <c:v>105.17395878916163</c:v>
                </c:pt>
                <c:pt idx="946">
                  <c:v>105.17400552183307</c:v>
                </c:pt>
                <c:pt idx="947">
                  <c:v>105.17405225272819</c:v>
                </c:pt>
                <c:pt idx="948">
                  <c:v>105.174098981847</c:v>
                </c:pt>
                <c:pt idx="949">
                  <c:v>105.17414570918956</c:v>
                </c:pt>
                <c:pt idx="950">
                  <c:v>105.17419243475587</c:v>
                </c:pt>
                <c:pt idx="951">
                  <c:v>105.17423915854597</c:v>
                </c:pt>
                <c:pt idx="952">
                  <c:v>105.17428588055986</c:v>
                </c:pt>
                <c:pt idx="953">
                  <c:v>105.17433260079764</c:v>
                </c:pt>
                <c:pt idx="954">
                  <c:v>105.17437931925926</c:v>
                </c:pt>
                <c:pt idx="955">
                  <c:v>105.17442603594478</c:v>
                </c:pt>
                <c:pt idx="956">
                  <c:v>105.17447275085422</c:v>
                </c:pt>
                <c:pt idx="957">
                  <c:v>105.17451946398761</c:v>
                </c:pt>
                <c:pt idx="958">
                  <c:v>105.17456617534496</c:v>
                </c:pt>
                <c:pt idx="959">
                  <c:v>105.17461288492635</c:v>
                </c:pt>
                <c:pt idx="960">
                  <c:v>105.17465959273176</c:v>
                </c:pt>
                <c:pt idx="961">
                  <c:v>105.17470629876122</c:v>
                </c:pt>
                <c:pt idx="962">
                  <c:v>105.17475300301477</c:v>
                </c:pt>
                <c:pt idx="963">
                  <c:v>105.17479970549243</c:v>
                </c:pt>
                <c:pt idx="964">
                  <c:v>105.17484640619423</c:v>
                </c:pt>
                <c:pt idx="965">
                  <c:v>105.1748931051202</c:v>
                </c:pt>
                <c:pt idx="966">
                  <c:v>105.17493980227039</c:v>
                </c:pt>
                <c:pt idx="967">
                  <c:v>105.17498649764478</c:v>
                </c:pt>
                <c:pt idx="968">
                  <c:v>105.17503319124344</c:v>
                </c:pt>
                <c:pt idx="969">
                  <c:v>105.17507988306636</c:v>
                </c:pt>
                <c:pt idx="970">
                  <c:v>105.1751265731136</c:v>
                </c:pt>
                <c:pt idx="971">
                  <c:v>105.17517326138517</c:v>
                </c:pt>
                <c:pt idx="972">
                  <c:v>105.17521994788108</c:v>
                </c:pt>
                <c:pt idx="973">
                  <c:v>105.17526663260139</c:v>
                </c:pt>
                <c:pt idx="974">
                  <c:v>105.17531331554611</c:v>
                </c:pt>
                <c:pt idx="975">
                  <c:v>105.17535999671527</c:v>
                </c:pt>
                <c:pt idx="976">
                  <c:v>105.17540667610891</c:v>
                </c:pt>
                <c:pt idx="977">
                  <c:v>105.17545335372702</c:v>
                </c:pt>
                <c:pt idx="978">
                  <c:v>105.17550002956968</c:v>
                </c:pt>
                <c:pt idx="979">
                  <c:v>105.17554670363688</c:v>
                </c:pt>
                <c:pt idx="980">
                  <c:v>105.17559337592866</c:v>
                </c:pt>
                <c:pt idx="981">
                  <c:v>105.17564004644504</c:v>
                </c:pt>
                <c:pt idx="982">
                  <c:v>105.17568671518606</c:v>
                </c:pt>
                <c:pt idx="983">
                  <c:v>105.17573338215173</c:v>
                </c:pt>
                <c:pt idx="984">
                  <c:v>105.1757800473421</c:v>
                </c:pt>
                <c:pt idx="985">
                  <c:v>105.17582671075718</c:v>
                </c:pt>
                <c:pt idx="986">
                  <c:v>105.17587337239701</c:v>
                </c:pt>
                <c:pt idx="987">
                  <c:v>105.1759200322616</c:v>
                </c:pt>
                <c:pt idx="988">
                  <c:v>105.175966690351</c:v>
                </c:pt>
                <c:pt idx="989">
                  <c:v>105.17601334666521</c:v>
                </c:pt>
                <c:pt idx="990">
                  <c:v>105.17606000120428</c:v>
                </c:pt>
                <c:pt idx="991">
                  <c:v>105.1761066539682</c:v>
                </c:pt>
                <c:pt idx="992">
                  <c:v>105.17615330495704</c:v>
                </c:pt>
                <c:pt idx="993">
                  <c:v>105.17619995417081</c:v>
                </c:pt>
                <c:pt idx="994">
                  <c:v>105.17624660160956</c:v>
                </c:pt>
                <c:pt idx="995">
                  <c:v>105.17629324727329</c:v>
                </c:pt>
                <c:pt idx="996">
                  <c:v>105.17633989116204</c:v>
                </c:pt>
                <c:pt idx="997">
                  <c:v>105.1763865332758</c:v>
                </c:pt>
                <c:pt idx="998">
                  <c:v>105.17643317361465</c:v>
                </c:pt>
                <c:pt idx="999">
                  <c:v>105.1764798121786</c:v>
                </c:pt>
                <c:pt idx="1000">
                  <c:v>105.17652644896768</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35.100000000000186</c:v>
                </c:pt>
                <c:pt idx="500">
                  <c:v>35.200000000000188</c:v>
                </c:pt>
                <c:pt idx="501">
                  <c:v>35.300000000000189</c:v>
                </c:pt>
                <c:pt idx="502">
                  <c:v>35.40000000000019</c:v>
                </c:pt>
                <c:pt idx="503">
                  <c:v>35.500000000000192</c:v>
                </c:pt>
                <c:pt idx="504">
                  <c:v>35.600000000000193</c:v>
                </c:pt>
                <c:pt idx="505">
                  <c:v>35.700000000000195</c:v>
                </c:pt>
                <c:pt idx="506">
                  <c:v>35.800000000000196</c:v>
                </c:pt>
                <c:pt idx="507">
                  <c:v>35.900000000000198</c:v>
                </c:pt>
                <c:pt idx="508">
                  <c:v>36.000000000000199</c:v>
                </c:pt>
                <c:pt idx="509">
                  <c:v>36.1000000000002</c:v>
                </c:pt>
                <c:pt idx="510">
                  <c:v>36.200000000000202</c:v>
                </c:pt>
                <c:pt idx="511">
                  <c:v>36.300000000000203</c:v>
                </c:pt>
                <c:pt idx="512">
                  <c:v>36.400000000000205</c:v>
                </c:pt>
                <c:pt idx="513">
                  <c:v>36.500000000000206</c:v>
                </c:pt>
                <c:pt idx="514">
                  <c:v>36.600000000000207</c:v>
                </c:pt>
                <c:pt idx="515">
                  <c:v>36.700000000000209</c:v>
                </c:pt>
                <c:pt idx="516">
                  <c:v>36.80000000000021</c:v>
                </c:pt>
                <c:pt idx="517">
                  <c:v>36.800100000000214</c:v>
                </c:pt>
                <c:pt idx="518">
                  <c:v>36.800200000000217</c:v>
                </c:pt>
                <c:pt idx="519">
                  <c:v>36.80030000000022</c:v>
                </c:pt>
                <c:pt idx="520">
                  <c:v>36.800400000000224</c:v>
                </c:pt>
                <c:pt idx="521">
                  <c:v>36.800500000000227</c:v>
                </c:pt>
                <c:pt idx="522">
                  <c:v>36.80060000000023</c:v>
                </c:pt>
                <c:pt idx="523">
                  <c:v>36.800700000000234</c:v>
                </c:pt>
                <c:pt idx="524">
                  <c:v>36.800800000000237</c:v>
                </c:pt>
                <c:pt idx="525">
                  <c:v>36.80090000000024</c:v>
                </c:pt>
                <c:pt idx="526">
                  <c:v>36.801000000000244</c:v>
                </c:pt>
                <c:pt idx="527">
                  <c:v>36.801100000000247</c:v>
                </c:pt>
                <c:pt idx="528">
                  <c:v>36.80120000000025</c:v>
                </c:pt>
                <c:pt idx="529">
                  <c:v>36.801300000000253</c:v>
                </c:pt>
                <c:pt idx="530">
                  <c:v>36.801400000000257</c:v>
                </c:pt>
                <c:pt idx="531">
                  <c:v>36.80150000000026</c:v>
                </c:pt>
                <c:pt idx="532">
                  <c:v>36.801600000000263</c:v>
                </c:pt>
                <c:pt idx="533">
                  <c:v>36.801700000000267</c:v>
                </c:pt>
                <c:pt idx="534">
                  <c:v>36.80180000000027</c:v>
                </c:pt>
                <c:pt idx="535">
                  <c:v>36.801900000000273</c:v>
                </c:pt>
                <c:pt idx="536">
                  <c:v>36.802000000000277</c:v>
                </c:pt>
                <c:pt idx="537">
                  <c:v>36.80210000000028</c:v>
                </c:pt>
                <c:pt idx="538">
                  <c:v>36.802200000000283</c:v>
                </c:pt>
                <c:pt idx="539">
                  <c:v>36.802300000000287</c:v>
                </c:pt>
                <c:pt idx="540">
                  <c:v>36.80240000000029</c:v>
                </c:pt>
                <c:pt idx="541">
                  <c:v>36.802500000000293</c:v>
                </c:pt>
                <c:pt idx="542">
                  <c:v>36.802600000000297</c:v>
                </c:pt>
                <c:pt idx="543">
                  <c:v>36.8027000000003</c:v>
                </c:pt>
                <c:pt idx="544">
                  <c:v>36.802800000000303</c:v>
                </c:pt>
                <c:pt idx="545">
                  <c:v>36.802900000000307</c:v>
                </c:pt>
                <c:pt idx="546">
                  <c:v>36.80300000000031</c:v>
                </c:pt>
                <c:pt idx="547">
                  <c:v>36.803100000000313</c:v>
                </c:pt>
                <c:pt idx="548">
                  <c:v>36.803200000000317</c:v>
                </c:pt>
                <c:pt idx="549">
                  <c:v>36.80330000000032</c:v>
                </c:pt>
                <c:pt idx="550">
                  <c:v>36.803400000000323</c:v>
                </c:pt>
                <c:pt idx="551">
                  <c:v>36.803500000000327</c:v>
                </c:pt>
                <c:pt idx="552">
                  <c:v>36.80360000000033</c:v>
                </c:pt>
                <c:pt idx="553">
                  <c:v>36.803700000000333</c:v>
                </c:pt>
                <c:pt idx="554">
                  <c:v>36.803800000000336</c:v>
                </c:pt>
                <c:pt idx="555">
                  <c:v>36.80390000000034</c:v>
                </c:pt>
                <c:pt idx="556">
                  <c:v>36.804000000000343</c:v>
                </c:pt>
                <c:pt idx="557">
                  <c:v>36.804100000000346</c:v>
                </c:pt>
                <c:pt idx="558">
                  <c:v>36.80420000000035</c:v>
                </c:pt>
                <c:pt idx="559">
                  <c:v>36.804300000000353</c:v>
                </c:pt>
                <c:pt idx="560">
                  <c:v>36.804400000000356</c:v>
                </c:pt>
                <c:pt idx="561">
                  <c:v>36.80450000000036</c:v>
                </c:pt>
                <c:pt idx="562">
                  <c:v>36.804600000000363</c:v>
                </c:pt>
                <c:pt idx="563">
                  <c:v>36.804700000000366</c:v>
                </c:pt>
                <c:pt idx="564">
                  <c:v>36.80480000000037</c:v>
                </c:pt>
                <c:pt idx="565">
                  <c:v>36.804900000000373</c:v>
                </c:pt>
                <c:pt idx="566">
                  <c:v>36.805000000000376</c:v>
                </c:pt>
                <c:pt idx="567">
                  <c:v>36.80510000000038</c:v>
                </c:pt>
                <c:pt idx="568">
                  <c:v>36.805200000000383</c:v>
                </c:pt>
                <c:pt idx="569">
                  <c:v>36.805300000000386</c:v>
                </c:pt>
                <c:pt idx="570">
                  <c:v>36.80540000000039</c:v>
                </c:pt>
                <c:pt idx="571">
                  <c:v>36.805500000000393</c:v>
                </c:pt>
                <c:pt idx="572">
                  <c:v>36.805600000000396</c:v>
                </c:pt>
                <c:pt idx="573">
                  <c:v>36.8057000000004</c:v>
                </c:pt>
                <c:pt idx="574">
                  <c:v>36.805800000000403</c:v>
                </c:pt>
                <c:pt idx="575">
                  <c:v>36.805900000000406</c:v>
                </c:pt>
                <c:pt idx="576">
                  <c:v>36.806000000000409</c:v>
                </c:pt>
                <c:pt idx="577">
                  <c:v>36.806100000000413</c:v>
                </c:pt>
                <c:pt idx="578">
                  <c:v>36.806200000000416</c:v>
                </c:pt>
                <c:pt idx="579">
                  <c:v>36.806300000000419</c:v>
                </c:pt>
                <c:pt idx="580">
                  <c:v>36.806400000000423</c:v>
                </c:pt>
                <c:pt idx="581">
                  <c:v>36.806500000000426</c:v>
                </c:pt>
                <c:pt idx="582">
                  <c:v>36.806600000000429</c:v>
                </c:pt>
                <c:pt idx="583">
                  <c:v>36.806700000000433</c:v>
                </c:pt>
                <c:pt idx="584">
                  <c:v>36.806800000000436</c:v>
                </c:pt>
                <c:pt idx="585">
                  <c:v>36.806900000000439</c:v>
                </c:pt>
                <c:pt idx="586">
                  <c:v>36.807000000000443</c:v>
                </c:pt>
                <c:pt idx="587">
                  <c:v>36.807100000000446</c:v>
                </c:pt>
                <c:pt idx="588">
                  <c:v>36.807200000000449</c:v>
                </c:pt>
                <c:pt idx="589">
                  <c:v>36.807300000000453</c:v>
                </c:pt>
                <c:pt idx="590">
                  <c:v>36.807400000000456</c:v>
                </c:pt>
                <c:pt idx="591">
                  <c:v>36.807500000000459</c:v>
                </c:pt>
                <c:pt idx="592">
                  <c:v>36.807600000000463</c:v>
                </c:pt>
                <c:pt idx="593">
                  <c:v>36.807700000000466</c:v>
                </c:pt>
                <c:pt idx="594">
                  <c:v>36.807800000000469</c:v>
                </c:pt>
                <c:pt idx="595">
                  <c:v>36.807900000000473</c:v>
                </c:pt>
                <c:pt idx="596">
                  <c:v>36.808000000000476</c:v>
                </c:pt>
                <c:pt idx="597">
                  <c:v>36.808100000000479</c:v>
                </c:pt>
                <c:pt idx="598">
                  <c:v>36.808200000000483</c:v>
                </c:pt>
                <c:pt idx="599">
                  <c:v>36.808300000000486</c:v>
                </c:pt>
                <c:pt idx="600">
                  <c:v>36.808400000000489</c:v>
                </c:pt>
                <c:pt idx="601">
                  <c:v>36.808500000000492</c:v>
                </c:pt>
                <c:pt idx="602">
                  <c:v>36.808600000000496</c:v>
                </c:pt>
                <c:pt idx="603">
                  <c:v>36.808700000000499</c:v>
                </c:pt>
                <c:pt idx="604">
                  <c:v>36.808800000000502</c:v>
                </c:pt>
                <c:pt idx="605">
                  <c:v>36.808900000000506</c:v>
                </c:pt>
                <c:pt idx="606">
                  <c:v>36.809000000000509</c:v>
                </c:pt>
                <c:pt idx="607">
                  <c:v>36.809100000000512</c:v>
                </c:pt>
                <c:pt idx="608">
                  <c:v>36.809200000000516</c:v>
                </c:pt>
                <c:pt idx="609">
                  <c:v>36.809300000000519</c:v>
                </c:pt>
                <c:pt idx="610">
                  <c:v>36.809400000000522</c:v>
                </c:pt>
                <c:pt idx="611">
                  <c:v>36.809500000000526</c:v>
                </c:pt>
                <c:pt idx="612">
                  <c:v>36.809600000000529</c:v>
                </c:pt>
                <c:pt idx="613">
                  <c:v>36.809700000000532</c:v>
                </c:pt>
                <c:pt idx="614">
                  <c:v>36.809800000000536</c:v>
                </c:pt>
                <c:pt idx="615">
                  <c:v>36.809900000000539</c:v>
                </c:pt>
                <c:pt idx="616">
                  <c:v>36.810000000000542</c:v>
                </c:pt>
                <c:pt idx="617">
                  <c:v>36.810100000000546</c:v>
                </c:pt>
                <c:pt idx="618">
                  <c:v>36.810200000000549</c:v>
                </c:pt>
                <c:pt idx="619">
                  <c:v>36.810300000000552</c:v>
                </c:pt>
                <c:pt idx="620">
                  <c:v>36.810400000000556</c:v>
                </c:pt>
                <c:pt idx="621">
                  <c:v>36.810500000000559</c:v>
                </c:pt>
                <c:pt idx="622">
                  <c:v>36.810600000000562</c:v>
                </c:pt>
                <c:pt idx="623">
                  <c:v>36.810700000000566</c:v>
                </c:pt>
                <c:pt idx="624">
                  <c:v>36.810800000000569</c:v>
                </c:pt>
                <c:pt idx="625">
                  <c:v>36.810900000000572</c:v>
                </c:pt>
                <c:pt idx="626">
                  <c:v>36.811000000000575</c:v>
                </c:pt>
                <c:pt idx="627">
                  <c:v>36.811100000000579</c:v>
                </c:pt>
                <c:pt idx="628">
                  <c:v>36.811200000000582</c:v>
                </c:pt>
                <c:pt idx="629">
                  <c:v>36.811300000000585</c:v>
                </c:pt>
                <c:pt idx="630">
                  <c:v>36.811400000000589</c:v>
                </c:pt>
                <c:pt idx="631">
                  <c:v>36.811500000000592</c:v>
                </c:pt>
                <c:pt idx="632">
                  <c:v>36.811600000000595</c:v>
                </c:pt>
                <c:pt idx="633">
                  <c:v>36.811700000000599</c:v>
                </c:pt>
                <c:pt idx="634">
                  <c:v>36.811800000000602</c:v>
                </c:pt>
                <c:pt idx="635">
                  <c:v>36.811900000000605</c:v>
                </c:pt>
                <c:pt idx="636">
                  <c:v>36.812000000000609</c:v>
                </c:pt>
                <c:pt idx="637">
                  <c:v>36.812100000000612</c:v>
                </c:pt>
                <c:pt idx="638">
                  <c:v>36.812200000000615</c:v>
                </c:pt>
                <c:pt idx="639">
                  <c:v>36.812300000000619</c:v>
                </c:pt>
                <c:pt idx="640">
                  <c:v>36.812400000000622</c:v>
                </c:pt>
                <c:pt idx="641">
                  <c:v>36.812500000000625</c:v>
                </c:pt>
                <c:pt idx="642">
                  <c:v>36.812600000000629</c:v>
                </c:pt>
                <c:pt idx="643">
                  <c:v>36.812700000000632</c:v>
                </c:pt>
                <c:pt idx="644">
                  <c:v>36.812800000000635</c:v>
                </c:pt>
                <c:pt idx="645">
                  <c:v>36.812900000000639</c:v>
                </c:pt>
                <c:pt idx="646">
                  <c:v>36.813000000000642</c:v>
                </c:pt>
                <c:pt idx="647">
                  <c:v>36.813100000000645</c:v>
                </c:pt>
                <c:pt idx="648">
                  <c:v>36.813200000000649</c:v>
                </c:pt>
                <c:pt idx="649">
                  <c:v>36.813300000000652</c:v>
                </c:pt>
                <c:pt idx="650">
                  <c:v>36.813400000000655</c:v>
                </c:pt>
                <c:pt idx="651">
                  <c:v>36.813500000000658</c:v>
                </c:pt>
                <c:pt idx="652">
                  <c:v>36.813600000000662</c:v>
                </c:pt>
                <c:pt idx="653">
                  <c:v>36.813700000000665</c:v>
                </c:pt>
                <c:pt idx="654">
                  <c:v>36.813800000000668</c:v>
                </c:pt>
                <c:pt idx="655">
                  <c:v>36.813900000000672</c:v>
                </c:pt>
                <c:pt idx="656">
                  <c:v>36.814000000000675</c:v>
                </c:pt>
                <c:pt idx="657">
                  <c:v>36.814100000000678</c:v>
                </c:pt>
                <c:pt idx="658">
                  <c:v>36.814200000000682</c:v>
                </c:pt>
                <c:pt idx="659">
                  <c:v>36.814300000000685</c:v>
                </c:pt>
                <c:pt idx="660">
                  <c:v>36.814400000000688</c:v>
                </c:pt>
                <c:pt idx="661">
                  <c:v>36.814500000000692</c:v>
                </c:pt>
                <c:pt idx="662">
                  <c:v>36.814600000000695</c:v>
                </c:pt>
                <c:pt idx="663">
                  <c:v>36.814700000000698</c:v>
                </c:pt>
                <c:pt idx="664">
                  <c:v>36.814800000000702</c:v>
                </c:pt>
                <c:pt idx="665">
                  <c:v>36.814900000000705</c:v>
                </c:pt>
                <c:pt idx="666">
                  <c:v>36.815000000000708</c:v>
                </c:pt>
                <c:pt idx="667">
                  <c:v>36.815100000000712</c:v>
                </c:pt>
                <c:pt idx="668">
                  <c:v>36.815200000000715</c:v>
                </c:pt>
                <c:pt idx="669">
                  <c:v>36.815300000000718</c:v>
                </c:pt>
                <c:pt idx="670">
                  <c:v>36.815400000000722</c:v>
                </c:pt>
                <c:pt idx="671">
                  <c:v>36.815500000000725</c:v>
                </c:pt>
                <c:pt idx="672">
                  <c:v>36.815600000000728</c:v>
                </c:pt>
                <c:pt idx="673">
                  <c:v>36.815700000000732</c:v>
                </c:pt>
                <c:pt idx="674">
                  <c:v>36.815800000000735</c:v>
                </c:pt>
                <c:pt idx="675">
                  <c:v>36.815900000000738</c:v>
                </c:pt>
                <c:pt idx="676">
                  <c:v>36.816000000000741</c:v>
                </c:pt>
                <c:pt idx="677">
                  <c:v>36.816100000000745</c:v>
                </c:pt>
                <c:pt idx="678">
                  <c:v>36.816200000000748</c:v>
                </c:pt>
                <c:pt idx="679">
                  <c:v>36.816300000000751</c:v>
                </c:pt>
                <c:pt idx="680">
                  <c:v>36.816400000000755</c:v>
                </c:pt>
                <c:pt idx="681">
                  <c:v>36.816500000000758</c:v>
                </c:pt>
                <c:pt idx="682">
                  <c:v>36.816600000000761</c:v>
                </c:pt>
                <c:pt idx="683">
                  <c:v>36.816700000000765</c:v>
                </c:pt>
                <c:pt idx="684">
                  <c:v>36.816800000000768</c:v>
                </c:pt>
                <c:pt idx="685">
                  <c:v>36.816900000000771</c:v>
                </c:pt>
                <c:pt idx="686">
                  <c:v>36.817000000000775</c:v>
                </c:pt>
                <c:pt idx="687">
                  <c:v>36.817100000000778</c:v>
                </c:pt>
                <c:pt idx="688">
                  <c:v>36.817200000000781</c:v>
                </c:pt>
                <c:pt idx="689">
                  <c:v>36.817300000000785</c:v>
                </c:pt>
                <c:pt idx="690">
                  <c:v>36.817400000000788</c:v>
                </c:pt>
                <c:pt idx="691">
                  <c:v>36.817500000000791</c:v>
                </c:pt>
                <c:pt idx="692">
                  <c:v>36.817600000000795</c:v>
                </c:pt>
                <c:pt idx="693">
                  <c:v>36.817700000000798</c:v>
                </c:pt>
                <c:pt idx="694">
                  <c:v>36.817800000000801</c:v>
                </c:pt>
                <c:pt idx="695">
                  <c:v>36.817900000000805</c:v>
                </c:pt>
                <c:pt idx="696">
                  <c:v>36.818000000000808</c:v>
                </c:pt>
                <c:pt idx="697">
                  <c:v>36.818100000000811</c:v>
                </c:pt>
                <c:pt idx="698">
                  <c:v>36.818200000000814</c:v>
                </c:pt>
                <c:pt idx="699">
                  <c:v>36.818300000000818</c:v>
                </c:pt>
                <c:pt idx="700">
                  <c:v>36.818400000000821</c:v>
                </c:pt>
                <c:pt idx="701">
                  <c:v>36.818500000000824</c:v>
                </c:pt>
                <c:pt idx="702">
                  <c:v>36.818600000000828</c:v>
                </c:pt>
                <c:pt idx="703">
                  <c:v>36.818700000000831</c:v>
                </c:pt>
                <c:pt idx="704">
                  <c:v>36.818800000000834</c:v>
                </c:pt>
                <c:pt idx="705">
                  <c:v>36.818900000000838</c:v>
                </c:pt>
                <c:pt idx="706">
                  <c:v>36.819000000000841</c:v>
                </c:pt>
                <c:pt idx="707">
                  <c:v>36.819100000000844</c:v>
                </c:pt>
                <c:pt idx="708">
                  <c:v>36.819200000000848</c:v>
                </c:pt>
                <c:pt idx="709">
                  <c:v>36.819300000000851</c:v>
                </c:pt>
                <c:pt idx="710">
                  <c:v>36.819400000000854</c:v>
                </c:pt>
                <c:pt idx="711">
                  <c:v>36.819500000000858</c:v>
                </c:pt>
                <c:pt idx="712">
                  <c:v>36.819600000000861</c:v>
                </c:pt>
                <c:pt idx="713">
                  <c:v>36.819700000000864</c:v>
                </c:pt>
                <c:pt idx="714">
                  <c:v>36.819800000000868</c:v>
                </c:pt>
                <c:pt idx="715">
                  <c:v>36.819900000000871</c:v>
                </c:pt>
                <c:pt idx="716">
                  <c:v>36.820000000000874</c:v>
                </c:pt>
                <c:pt idx="717">
                  <c:v>36.820100000000878</c:v>
                </c:pt>
                <c:pt idx="718">
                  <c:v>36.820200000000881</c:v>
                </c:pt>
                <c:pt idx="719">
                  <c:v>36.820300000000884</c:v>
                </c:pt>
                <c:pt idx="720">
                  <c:v>36.820400000000888</c:v>
                </c:pt>
                <c:pt idx="721">
                  <c:v>36.820500000000891</c:v>
                </c:pt>
                <c:pt idx="722">
                  <c:v>36.820600000000894</c:v>
                </c:pt>
                <c:pt idx="723">
                  <c:v>36.820700000000897</c:v>
                </c:pt>
                <c:pt idx="724">
                  <c:v>36.820800000000901</c:v>
                </c:pt>
                <c:pt idx="725">
                  <c:v>36.820900000000904</c:v>
                </c:pt>
                <c:pt idx="726">
                  <c:v>36.821000000000907</c:v>
                </c:pt>
                <c:pt idx="727">
                  <c:v>36.821100000000911</c:v>
                </c:pt>
                <c:pt idx="728">
                  <c:v>36.821200000000914</c:v>
                </c:pt>
                <c:pt idx="729">
                  <c:v>36.821300000000917</c:v>
                </c:pt>
                <c:pt idx="730">
                  <c:v>36.821400000000921</c:v>
                </c:pt>
                <c:pt idx="731">
                  <c:v>36.821500000000924</c:v>
                </c:pt>
                <c:pt idx="732">
                  <c:v>36.821600000000927</c:v>
                </c:pt>
                <c:pt idx="733">
                  <c:v>36.821700000000931</c:v>
                </c:pt>
                <c:pt idx="734">
                  <c:v>36.821800000000934</c:v>
                </c:pt>
                <c:pt idx="735">
                  <c:v>36.821900000000937</c:v>
                </c:pt>
                <c:pt idx="736">
                  <c:v>36.822000000000941</c:v>
                </c:pt>
                <c:pt idx="737">
                  <c:v>36.822100000000944</c:v>
                </c:pt>
                <c:pt idx="738">
                  <c:v>36.822200000000947</c:v>
                </c:pt>
                <c:pt idx="739">
                  <c:v>36.822300000000951</c:v>
                </c:pt>
                <c:pt idx="740">
                  <c:v>36.822400000000954</c:v>
                </c:pt>
                <c:pt idx="741">
                  <c:v>36.822500000000957</c:v>
                </c:pt>
                <c:pt idx="742">
                  <c:v>36.822600000000961</c:v>
                </c:pt>
                <c:pt idx="743">
                  <c:v>36.822700000000964</c:v>
                </c:pt>
                <c:pt idx="744">
                  <c:v>36.822800000000967</c:v>
                </c:pt>
                <c:pt idx="745">
                  <c:v>36.822900000000971</c:v>
                </c:pt>
                <c:pt idx="746">
                  <c:v>36.823000000000974</c:v>
                </c:pt>
                <c:pt idx="747">
                  <c:v>36.823100000000977</c:v>
                </c:pt>
                <c:pt idx="748">
                  <c:v>36.82320000000098</c:v>
                </c:pt>
                <c:pt idx="749">
                  <c:v>36.823300000000984</c:v>
                </c:pt>
                <c:pt idx="750">
                  <c:v>36.823400000000987</c:v>
                </c:pt>
                <c:pt idx="751">
                  <c:v>36.82350000000099</c:v>
                </c:pt>
                <c:pt idx="752">
                  <c:v>36.823600000000994</c:v>
                </c:pt>
                <c:pt idx="753">
                  <c:v>36.823700000000997</c:v>
                </c:pt>
                <c:pt idx="754">
                  <c:v>36.823800000001</c:v>
                </c:pt>
                <c:pt idx="755">
                  <c:v>36.823900000001004</c:v>
                </c:pt>
                <c:pt idx="756">
                  <c:v>36.824000000001007</c:v>
                </c:pt>
                <c:pt idx="757">
                  <c:v>36.82410000000101</c:v>
                </c:pt>
                <c:pt idx="758">
                  <c:v>36.824200000001014</c:v>
                </c:pt>
                <c:pt idx="759">
                  <c:v>36.824300000001017</c:v>
                </c:pt>
                <c:pt idx="760">
                  <c:v>36.82440000000102</c:v>
                </c:pt>
                <c:pt idx="761">
                  <c:v>36.824500000001024</c:v>
                </c:pt>
                <c:pt idx="762">
                  <c:v>36.824600000001027</c:v>
                </c:pt>
                <c:pt idx="763">
                  <c:v>36.82470000000103</c:v>
                </c:pt>
                <c:pt idx="764">
                  <c:v>36.824800000001034</c:v>
                </c:pt>
                <c:pt idx="765">
                  <c:v>36.824900000001037</c:v>
                </c:pt>
                <c:pt idx="766">
                  <c:v>36.82500000000104</c:v>
                </c:pt>
                <c:pt idx="767">
                  <c:v>36.825100000001044</c:v>
                </c:pt>
                <c:pt idx="768">
                  <c:v>36.825200000001047</c:v>
                </c:pt>
                <c:pt idx="769">
                  <c:v>36.82530000000105</c:v>
                </c:pt>
                <c:pt idx="770">
                  <c:v>36.825400000001054</c:v>
                </c:pt>
                <c:pt idx="771">
                  <c:v>36.825500000001057</c:v>
                </c:pt>
                <c:pt idx="772">
                  <c:v>36.82560000000106</c:v>
                </c:pt>
                <c:pt idx="773">
                  <c:v>36.825700000001063</c:v>
                </c:pt>
                <c:pt idx="774">
                  <c:v>36.825800000001067</c:v>
                </c:pt>
                <c:pt idx="775">
                  <c:v>36.82590000000107</c:v>
                </c:pt>
                <c:pt idx="776">
                  <c:v>36.826000000001073</c:v>
                </c:pt>
                <c:pt idx="777">
                  <c:v>36.826100000001077</c:v>
                </c:pt>
                <c:pt idx="778">
                  <c:v>36.82620000000108</c:v>
                </c:pt>
                <c:pt idx="779">
                  <c:v>36.826300000001083</c:v>
                </c:pt>
                <c:pt idx="780">
                  <c:v>36.826400000001087</c:v>
                </c:pt>
                <c:pt idx="781">
                  <c:v>36.82650000000109</c:v>
                </c:pt>
                <c:pt idx="782">
                  <c:v>36.826600000001093</c:v>
                </c:pt>
                <c:pt idx="783">
                  <c:v>36.826700000001097</c:v>
                </c:pt>
                <c:pt idx="784">
                  <c:v>36.8268000000011</c:v>
                </c:pt>
                <c:pt idx="785">
                  <c:v>36.826900000001103</c:v>
                </c:pt>
                <c:pt idx="786">
                  <c:v>36.827000000001107</c:v>
                </c:pt>
                <c:pt idx="787">
                  <c:v>36.82710000000111</c:v>
                </c:pt>
                <c:pt idx="788">
                  <c:v>36.827200000001113</c:v>
                </c:pt>
                <c:pt idx="789">
                  <c:v>36.827300000001117</c:v>
                </c:pt>
                <c:pt idx="790">
                  <c:v>36.82740000000112</c:v>
                </c:pt>
                <c:pt idx="791">
                  <c:v>36.827500000001123</c:v>
                </c:pt>
                <c:pt idx="792">
                  <c:v>36.827600000001127</c:v>
                </c:pt>
                <c:pt idx="793">
                  <c:v>36.82770000000113</c:v>
                </c:pt>
                <c:pt idx="794">
                  <c:v>36.827800000001133</c:v>
                </c:pt>
                <c:pt idx="795">
                  <c:v>36.827900000001137</c:v>
                </c:pt>
                <c:pt idx="796">
                  <c:v>36.82800000000114</c:v>
                </c:pt>
                <c:pt idx="797">
                  <c:v>36.828100000001143</c:v>
                </c:pt>
                <c:pt idx="798">
                  <c:v>36.828200000001146</c:v>
                </c:pt>
                <c:pt idx="799">
                  <c:v>36.82830000000115</c:v>
                </c:pt>
                <c:pt idx="800">
                  <c:v>36.828400000001153</c:v>
                </c:pt>
                <c:pt idx="801">
                  <c:v>36.828500000001156</c:v>
                </c:pt>
                <c:pt idx="802">
                  <c:v>36.82860000000116</c:v>
                </c:pt>
                <c:pt idx="803">
                  <c:v>36.828700000001163</c:v>
                </c:pt>
                <c:pt idx="804">
                  <c:v>36.828800000001166</c:v>
                </c:pt>
                <c:pt idx="805">
                  <c:v>36.82890000000117</c:v>
                </c:pt>
                <c:pt idx="806">
                  <c:v>36.829000000001173</c:v>
                </c:pt>
                <c:pt idx="807">
                  <c:v>36.829100000001176</c:v>
                </c:pt>
                <c:pt idx="808">
                  <c:v>36.82920000000118</c:v>
                </c:pt>
                <c:pt idx="809">
                  <c:v>36.829300000001183</c:v>
                </c:pt>
                <c:pt idx="810">
                  <c:v>36.829400000001186</c:v>
                </c:pt>
                <c:pt idx="811">
                  <c:v>36.82950000000119</c:v>
                </c:pt>
                <c:pt idx="812">
                  <c:v>36.829600000001193</c:v>
                </c:pt>
                <c:pt idx="813">
                  <c:v>36.829700000001196</c:v>
                </c:pt>
                <c:pt idx="814">
                  <c:v>36.8298000000012</c:v>
                </c:pt>
                <c:pt idx="815">
                  <c:v>36.829900000001203</c:v>
                </c:pt>
                <c:pt idx="816">
                  <c:v>36.830000000001206</c:v>
                </c:pt>
                <c:pt idx="817">
                  <c:v>36.83010000000121</c:v>
                </c:pt>
                <c:pt idx="818">
                  <c:v>36.830200000001213</c:v>
                </c:pt>
                <c:pt idx="819">
                  <c:v>36.830300000001216</c:v>
                </c:pt>
                <c:pt idx="820">
                  <c:v>36.830400000001219</c:v>
                </c:pt>
                <c:pt idx="821">
                  <c:v>36.830500000001223</c:v>
                </c:pt>
                <c:pt idx="822">
                  <c:v>36.830600000001226</c:v>
                </c:pt>
                <c:pt idx="823">
                  <c:v>36.830700000001229</c:v>
                </c:pt>
                <c:pt idx="824">
                  <c:v>36.830800000001233</c:v>
                </c:pt>
                <c:pt idx="825">
                  <c:v>36.830900000001236</c:v>
                </c:pt>
                <c:pt idx="826">
                  <c:v>36.831000000001239</c:v>
                </c:pt>
                <c:pt idx="827">
                  <c:v>36.831100000001243</c:v>
                </c:pt>
                <c:pt idx="828">
                  <c:v>36.831200000001246</c:v>
                </c:pt>
                <c:pt idx="829">
                  <c:v>36.831300000001249</c:v>
                </c:pt>
                <c:pt idx="830">
                  <c:v>36.831400000001253</c:v>
                </c:pt>
                <c:pt idx="831">
                  <c:v>36.831500000001256</c:v>
                </c:pt>
                <c:pt idx="832">
                  <c:v>36.831600000001259</c:v>
                </c:pt>
                <c:pt idx="833">
                  <c:v>36.831700000001263</c:v>
                </c:pt>
                <c:pt idx="834">
                  <c:v>36.831800000001266</c:v>
                </c:pt>
                <c:pt idx="835">
                  <c:v>36.831900000001269</c:v>
                </c:pt>
                <c:pt idx="836">
                  <c:v>36.832000000001273</c:v>
                </c:pt>
                <c:pt idx="837">
                  <c:v>36.832100000001276</c:v>
                </c:pt>
                <c:pt idx="838">
                  <c:v>36.832200000001279</c:v>
                </c:pt>
                <c:pt idx="839">
                  <c:v>36.832300000001283</c:v>
                </c:pt>
                <c:pt idx="840">
                  <c:v>36.832400000001286</c:v>
                </c:pt>
                <c:pt idx="841">
                  <c:v>36.832500000001289</c:v>
                </c:pt>
                <c:pt idx="842">
                  <c:v>36.832600000001293</c:v>
                </c:pt>
                <c:pt idx="843">
                  <c:v>36.832700000001296</c:v>
                </c:pt>
                <c:pt idx="844">
                  <c:v>36.832800000001299</c:v>
                </c:pt>
                <c:pt idx="845">
                  <c:v>36.832900000001302</c:v>
                </c:pt>
                <c:pt idx="846">
                  <c:v>36.833000000001306</c:v>
                </c:pt>
                <c:pt idx="847">
                  <c:v>36.833100000001309</c:v>
                </c:pt>
                <c:pt idx="848">
                  <c:v>36.833200000001312</c:v>
                </c:pt>
                <c:pt idx="849">
                  <c:v>36.833300000001316</c:v>
                </c:pt>
                <c:pt idx="850">
                  <c:v>36.833400000001319</c:v>
                </c:pt>
                <c:pt idx="851">
                  <c:v>36.833500000001322</c:v>
                </c:pt>
                <c:pt idx="852">
                  <c:v>36.833600000001326</c:v>
                </c:pt>
                <c:pt idx="853">
                  <c:v>36.833700000001329</c:v>
                </c:pt>
                <c:pt idx="854">
                  <c:v>36.833800000001332</c:v>
                </c:pt>
                <c:pt idx="855">
                  <c:v>36.833900000001336</c:v>
                </c:pt>
                <c:pt idx="856">
                  <c:v>36.834000000001339</c:v>
                </c:pt>
                <c:pt idx="857">
                  <c:v>36.834100000001342</c:v>
                </c:pt>
                <c:pt idx="858">
                  <c:v>36.834200000001346</c:v>
                </c:pt>
                <c:pt idx="859">
                  <c:v>36.834300000001349</c:v>
                </c:pt>
                <c:pt idx="860">
                  <c:v>36.834400000001352</c:v>
                </c:pt>
                <c:pt idx="861">
                  <c:v>36.834500000001356</c:v>
                </c:pt>
                <c:pt idx="862">
                  <c:v>36.834600000001359</c:v>
                </c:pt>
                <c:pt idx="863">
                  <c:v>36.834700000001362</c:v>
                </c:pt>
                <c:pt idx="864">
                  <c:v>36.834800000001366</c:v>
                </c:pt>
                <c:pt idx="865">
                  <c:v>36.834900000001369</c:v>
                </c:pt>
                <c:pt idx="866">
                  <c:v>36.835000000001372</c:v>
                </c:pt>
                <c:pt idx="867">
                  <c:v>36.835100000001376</c:v>
                </c:pt>
                <c:pt idx="868">
                  <c:v>36.835200000001379</c:v>
                </c:pt>
                <c:pt idx="869">
                  <c:v>36.835300000001382</c:v>
                </c:pt>
                <c:pt idx="870">
                  <c:v>36.835400000001385</c:v>
                </c:pt>
                <c:pt idx="871">
                  <c:v>36.835500000001389</c:v>
                </c:pt>
                <c:pt idx="872">
                  <c:v>36.835600000001392</c:v>
                </c:pt>
                <c:pt idx="873">
                  <c:v>36.835700000001395</c:v>
                </c:pt>
                <c:pt idx="874">
                  <c:v>36.835800000001399</c:v>
                </c:pt>
                <c:pt idx="875">
                  <c:v>36.835900000001402</c:v>
                </c:pt>
                <c:pt idx="876">
                  <c:v>36.836000000001405</c:v>
                </c:pt>
                <c:pt idx="877">
                  <c:v>36.836100000001409</c:v>
                </c:pt>
                <c:pt idx="878">
                  <c:v>36.836200000001412</c:v>
                </c:pt>
                <c:pt idx="879">
                  <c:v>36.836300000001415</c:v>
                </c:pt>
                <c:pt idx="880">
                  <c:v>36.836400000001419</c:v>
                </c:pt>
                <c:pt idx="881">
                  <c:v>36.836500000001422</c:v>
                </c:pt>
                <c:pt idx="882">
                  <c:v>36.836600000001425</c:v>
                </c:pt>
                <c:pt idx="883">
                  <c:v>36.836700000001429</c:v>
                </c:pt>
                <c:pt idx="884">
                  <c:v>36.836800000001432</c:v>
                </c:pt>
                <c:pt idx="885">
                  <c:v>36.836900000001435</c:v>
                </c:pt>
                <c:pt idx="886">
                  <c:v>36.837000000001439</c:v>
                </c:pt>
                <c:pt idx="887">
                  <c:v>36.837100000001442</c:v>
                </c:pt>
                <c:pt idx="888">
                  <c:v>36.837200000001445</c:v>
                </c:pt>
                <c:pt idx="889">
                  <c:v>36.837300000001449</c:v>
                </c:pt>
                <c:pt idx="890">
                  <c:v>36.837400000001452</c:v>
                </c:pt>
                <c:pt idx="891">
                  <c:v>36.837500000001455</c:v>
                </c:pt>
                <c:pt idx="892">
                  <c:v>36.837600000001459</c:v>
                </c:pt>
                <c:pt idx="893">
                  <c:v>36.837700000001462</c:v>
                </c:pt>
                <c:pt idx="894">
                  <c:v>36.837800000001465</c:v>
                </c:pt>
                <c:pt idx="895">
                  <c:v>36.837900000001468</c:v>
                </c:pt>
                <c:pt idx="896">
                  <c:v>36.838000000001472</c:v>
                </c:pt>
                <c:pt idx="897">
                  <c:v>36.838100000001475</c:v>
                </c:pt>
                <c:pt idx="898">
                  <c:v>36.838200000001478</c:v>
                </c:pt>
                <c:pt idx="899">
                  <c:v>36.838300000001482</c:v>
                </c:pt>
                <c:pt idx="900">
                  <c:v>36.838400000001485</c:v>
                </c:pt>
                <c:pt idx="901">
                  <c:v>36.838500000001488</c:v>
                </c:pt>
                <c:pt idx="902">
                  <c:v>36.838600000001492</c:v>
                </c:pt>
                <c:pt idx="903">
                  <c:v>36.838700000001495</c:v>
                </c:pt>
                <c:pt idx="904">
                  <c:v>36.838800000001498</c:v>
                </c:pt>
                <c:pt idx="905">
                  <c:v>36.838900000001502</c:v>
                </c:pt>
                <c:pt idx="906">
                  <c:v>36.839000000001505</c:v>
                </c:pt>
                <c:pt idx="907">
                  <c:v>36.839100000001508</c:v>
                </c:pt>
                <c:pt idx="908">
                  <c:v>36.839200000001512</c:v>
                </c:pt>
                <c:pt idx="909">
                  <c:v>36.839300000001515</c:v>
                </c:pt>
                <c:pt idx="910">
                  <c:v>36.839400000001518</c:v>
                </c:pt>
                <c:pt idx="911">
                  <c:v>36.839500000001522</c:v>
                </c:pt>
                <c:pt idx="912">
                  <c:v>36.839600000001525</c:v>
                </c:pt>
                <c:pt idx="913">
                  <c:v>36.839700000001528</c:v>
                </c:pt>
                <c:pt idx="914">
                  <c:v>36.839800000001532</c:v>
                </c:pt>
                <c:pt idx="915">
                  <c:v>36.839900000001535</c:v>
                </c:pt>
                <c:pt idx="916">
                  <c:v>36.840000000001538</c:v>
                </c:pt>
                <c:pt idx="917">
                  <c:v>36.840100000001542</c:v>
                </c:pt>
                <c:pt idx="918">
                  <c:v>36.840200000001545</c:v>
                </c:pt>
                <c:pt idx="919">
                  <c:v>36.840300000001548</c:v>
                </c:pt>
                <c:pt idx="920">
                  <c:v>36.840400000001551</c:v>
                </c:pt>
                <c:pt idx="921">
                  <c:v>36.840500000001555</c:v>
                </c:pt>
                <c:pt idx="922">
                  <c:v>36.840600000001558</c:v>
                </c:pt>
                <c:pt idx="923">
                  <c:v>36.840700000001561</c:v>
                </c:pt>
                <c:pt idx="924">
                  <c:v>36.840800000001565</c:v>
                </c:pt>
                <c:pt idx="925">
                  <c:v>36.840900000001568</c:v>
                </c:pt>
                <c:pt idx="926">
                  <c:v>36.841000000001571</c:v>
                </c:pt>
                <c:pt idx="927">
                  <c:v>36.841100000001575</c:v>
                </c:pt>
                <c:pt idx="928">
                  <c:v>36.841200000001578</c:v>
                </c:pt>
                <c:pt idx="929">
                  <c:v>36.841300000001581</c:v>
                </c:pt>
                <c:pt idx="930">
                  <c:v>36.841400000001585</c:v>
                </c:pt>
                <c:pt idx="931">
                  <c:v>36.841500000001588</c:v>
                </c:pt>
                <c:pt idx="932">
                  <c:v>36.841600000001591</c:v>
                </c:pt>
                <c:pt idx="933">
                  <c:v>36.841700000001595</c:v>
                </c:pt>
                <c:pt idx="934">
                  <c:v>36.841800000001598</c:v>
                </c:pt>
                <c:pt idx="935">
                  <c:v>36.841900000001601</c:v>
                </c:pt>
                <c:pt idx="936">
                  <c:v>36.842000000001605</c:v>
                </c:pt>
                <c:pt idx="937">
                  <c:v>36.842100000001608</c:v>
                </c:pt>
                <c:pt idx="938">
                  <c:v>36.842200000001611</c:v>
                </c:pt>
                <c:pt idx="939">
                  <c:v>36.842300000001615</c:v>
                </c:pt>
                <c:pt idx="940">
                  <c:v>36.842400000001618</c:v>
                </c:pt>
                <c:pt idx="941">
                  <c:v>36.842500000001621</c:v>
                </c:pt>
                <c:pt idx="942">
                  <c:v>36.842600000001624</c:v>
                </c:pt>
                <c:pt idx="943">
                  <c:v>36.842700000001628</c:v>
                </c:pt>
                <c:pt idx="944">
                  <c:v>36.842800000001631</c:v>
                </c:pt>
                <c:pt idx="945">
                  <c:v>36.842900000001634</c:v>
                </c:pt>
                <c:pt idx="946">
                  <c:v>36.843000000001638</c:v>
                </c:pt>
                <c:pt idx="947">
                  <c:v>36.843100000001641</c:v>
                </c:pt>
                <c:pt idx="948">
                  <c:v>36.843200000001644</c:v>
                </c:pt>
                <c:pt idx="949">
                  <c:v>36.843300000001648</c:v>
                </c:pt>
                <c:pt idx="950">
                  <c:v>36.843400000001651</c:v>
                </c:pt>
                <c:pt idx="951">
                  <c:v>36.843500000001654</c:v>
                </c:pt>
                <c:pt idx="952">
                  <c:v>36.843600000001658</c:v>
                </c:pt>
                <c:pt idx="953">
                  <c:v>36.843700000001661</c:v>
                </c:pt>
                <c:pt idx="954">
                  <c:v>36.843800000001664</c:v>
                </c:pt>
                <c:pt idx="955">
                  <c:v>36.843900000001668</c:v>
                </c:pt>
                <c:pt idx="956">
                  <c:v>36.844000000001671</c:v>
                </c:pt>
                <c:pt idx="957">
                  <c:v>36.844100000001674</c:v>
                </c:pt>
                <c:pt idx="958">
                  <c:v>36.844200000001678</c:v>
                </c:pt>
                <c:pt idx="959">
                  <c:v>36.844300000001681</c:v>
                </c:pt>
                <c:pt idx="960">
                  <c:v>36.844400000001684</c:v>
                </c:pt>
                <c:pt idx="961">
                  <c:v>36.844500000001688</c:v>
                </c:pt>
                <c:pt idx="962">
                  <c:v>36.844600000001691</c:v>
                </c:pt>
                <c:pt idx="963">
                  <c:v>36.844700000001694</c:v>
                </c:pt>
                <c:pt idx="964">
                  <c:v>36.844800000001698</c:v>
                </c:pt>
                <c:pt idx="965">
                  <c:v>36.844900000001701</c:v>
                </c:pt>
                <c:pt idx="966">
                  <c:v>36.845000000001704</c:v>
                </c:pt>
                <c:pt idx="967">
                  <c:v>36.845100000001707</c:v>
                </c:pt>
                <c:pt idx="968">
                  <c:v>36.845200000001711</c:v>
                </c:pt>
                <c:pt idx="969">
                  <c:v>36.845300000001714</c:v>
                </c:pt>
                <c:pt idx="970">
                  <c:v>36.845400000001717</c:v>
                </c:pt>
                <c:pt idx="971">
                  <c:v>36.845500000001721</c:v>
                </c:pt>
                <c:pt idx="972">
                  <c:v>36.845600000001724</c:v>
                </c:pt>
                <c:pt idx="973">
                  <c:v>36.845700000001727</c:v>
                </c:pt>
                <c:pt idx="974">
                  <c:v>36.845800000001731</c:v>
                </c:pt>
                <c:pt idx="975">
                  <c:v>36.845900000001734</c:v>
                </c:pt>
                <c:pt idx="976">
                  <c:v>36.846000000001737</c:v>
                </c:pt>
                <c:pt idx="977">
                  <c:v>36.846100000001741</c:v>
                </c:pt>
                <c:pt idx="978">
                  <c:v>36.846200000001744</c:v>
                </c:pt>
                <c:pt idx="979">
                  <c:v>36.846300000001747</c:v>
                </c:pt>
                <c:pt idx="980">
                  <c:v>36.846400000001751</c:v>
                </c:pt>
                <c:pt idx="981">
                  <c:v>36.846500000001754</c:v>
                </c:pt>
                <c:pt idx="982">
                  <c:v>36.846600000001757</c:v>
                </c:pt>
                <c:pt idx="983">
                  <c:v>36.846700000001761</c:v>
                </c:pt>
                <c:pt idx="984">
                  <c:v>36.846800000001764</c:v>
                </c:pt>
                <c:pt idx="985">
                  <c:v>36.846900000001767</c:v>
                </c:pt>
                <c:pt idx="986">
                  <c:v>36.847000000001771</c:v>
                </c:pt>
                <c:pt idx="987">
                  <c:v>36.847100000001774</c:v>
                </c:pt>
                <c:pt idx="988">
                  <c:v>36.847200000001777</c:v>
                </c:pt>
                <c:pt idx="989">
                  <c:v>36.847300000001781</c:v>
                </c:pt>
                <c:pt idx="990">
                  <c:v>36.847400000001784</c:v>
                </c:pt>
                <c:pt idx="991">
                  <c:v>36.847500000001787</c:v>
                </c:pt>
                <c:pt idx="992">
                  <c:v>36.84760000000179</c:v>
                </c:pt>
                <c:pt idx="993">
                  <c:v>36.847700000001794</c:v>
                </c:pt>
                <c:pt idx="994">
                  <c:v>36.847800000001797</c:v>
                </c:pt>
                <c:pt idx="995">
                  <c:v>36.8479000000018</c:v>
                </c:pt>
                <c:pt idx="996">
                  <c:v>36.848000000001804</c:v>
                </c:pt>
                <c:pt idx="997">
                  <c:v>36.848100000001807</c:v>
                </c:pt>
                <c:pt idx="998">
                  <c:v>36.84820000000181</c:v>
                </c:pt>
                <c:pt idx="999">
                  <c:v>36.848300000001814</c:v>
                </c:pt>
                <c:pt idx="1000">
                  <c:v>36.848400000001817</c:v>
                </c:pt>
              </c:numCache>
            </c:numRef>
          </c:xVal>
          <c:yVal>
            <c:numRef>
              <c:f>Calculs!$AG$4:$AG$1004</c:f>
              <c:numCache>
                <c:formatCode>0.00</c:formatCode>
                <c:ptCount val="1001"/>
                <c:pt idx="0">
                  <c:v>0</c:v>
                </c:pt>
                <c:pt idx="1">
                  <c:v>-13.526369927458301</c:v>
                </c:pt>
                <c:pt idx="2">
                  <c:v>27.449801645436423</c:v>
                </c:pt>
                <c:pt idx="3">
                  <c:v>44.594026597802149</c:v>
                </c:pt>
                <c:pt idx="4">
                  <c:v>37.940817812574792</c:v>
                </c:pt>
                <c:pt idx="5">
                  <c:v>34.437351008191747</c:v>
                </c:pt>
                <c:pt idx="6">
                  <c:v>34.079329071146056</c:v>
                </c:pt>
                <c:pt idx="7">
                  <c:v>33.721835893064181</c:v>
                </c:pt>
                <c:pt idx="8">
                  <c:v>33.364877483698251</c:v>
                </c:pt>
                <c:pt idx="9">
                  <c:v>33.008459762915336</c:v>
                </c:pt>
                <c:pt idx="10">
                  <c:v>32.652588560940245</c:v>
                </c:pt>
                <c:pt idx="11">
                  <c:v>32.297269618607231</c:v>
                </c:pt>
                <c:pt idx="12">
                  <c:v>31.942508587621173</c:v>
                </c:pt>
                <c:pt idx="13">
                  <c:v>31.588311030827747</c:v>
                </c:pt>
                <c:pt idx="14">
                  <c:v>31.234682422492405</c:v>
                </c:pt>
                <c:pt idx="15">
                  <c:v>30.881628148588149</c:v>
                </c:pt>
                <c:pt idx="16">
                  <c:v>30.529153507091863</c:v>
                </c:pt>
                <c:pt idx="17">
                  <c:v>30.177263708288919</c:v>
                </c:pt>
                <c:pt idx="18">
                  <c:v>29.825963875086138</c:v>
                </c:pt>
                <c:pt idx="19">
                  <c:v>29.475259043332748</c:v>
                </c:pt>
                <c:pt idx="20">
                  <c:v>29.125154162149137</c:v>
                </c:pt>
                <c:pt idx="21">
                  <c:v>28.775654094263494</c:v>
                </c:pt>
                <c:pt idx="22">
                  <c:v>28.426763616355949</c:v>
                </c:pt>
                <c:pt idx="23">
                  <c:v>28.078487419410077</c:v>
                </c:pt>
                <c:pt idx="24">
                  <c:v>27.730830109071643</c:v>
                </c:pt>
                <c:pt idx="25">
                  <c:v>27.383796206014566</c:v>
                </c:pt>
                <c:pt idx="26">
                  <c:v>27.037390146313527</c:v>
                </c:pt>
                <c:pt idx="27">
                  <c:v>26.691616281823634</c:v>
                </c:pt>
                <c:pt idx="28">
                  <c:v>26.34647888056648</c:v>
                </c:pt>
                <c:pt idx="29">
                  <c:v>26.00198212712273</c:v>
                </c:pt>
                <c:pt idx="30">
                  <c:v>25.658130123031036</c:v>
                </c:pt>
                <c:pt idx="31">
                  <c:v>25.314926887192883</c:v>
                </c:pt>
                <c:pt idx="32">
                  <c:v>24.972376356283753</c:v>
                </c:pt>
                <c:pt idx="33">
                  <c:v>24.630482385169699</c:v>
                </c:pt>
                <c:pt idx="34">
                  <c:v>24.289248747329896</c:v>
                </c:pt>
                <c:pt idx="35">
                  <c:v>23.948679135284607</c:v>
                </c:pt>
                <c:pt idx="36">
                  <c:v>23.60877716102847</c:v>
                </c:pt>
                <c:pt idx="37">
                  <c:v>23.269546356469</c:v>
                </c:pt>
                <c:pt idx="38">
                  <c:v>22.930990173870264</c:v>
                </c:pt>
                <c:pt idx="39">
                  <c:v>22.593111986301277</c:v>
                </c:pt>
                <c:pt idx="40">
                  <c:v>22.255915088089338</c:v>
                </c:pt>
                <c:pt idx="41">
                  <c:v>21.919402695277945</c:v>
                </c:pt>
                <c:pt idx="42">
                  <c:v>21.583577946089044</c:v>
                </c:pt>
                <c:pt idx="43">
                  <c:v>21.248443901389834</c:v>
                </c:pt>
                <c:pt idx="44">
                  <c:v>20.914003545163609</c:v>
                </c:pt>
                <c:pt idx="45">
                  <c:v>20.580259784984658</c:v>
                </c:pt>
                <c:pt idx="46">
                  <c:v>20.247215452497105</c:v>
                </c:pt>
                <c:pt idx="47">
                  <c:v>19.914873303897561</c:v>
                </c:pt>
                <c:pt idx="48">
                  <c:v>19.583236020421261</c:v>
                </c:pt>
                <c:pt idx="49">
                  <c:v>19.25230620883195</c:v>
                </c:pt>
                <c:pt idx="50">
                  <c:v>18.922086401914733</c:v>
                </c:pt>
                <c:pt idx="51">
                  <c:v>18.592579058972539</c:v>
                </c:pt>
                <c:pt idx="52">
                  <c:v>18.263786566325514</c:v>
                </c:pt>
                <c:pt idx="53">
                  <c:v>17.935711237813294</c:v>
                </c:pt>
                <c:pt idx="54">
                  <c:v>17.608355315300301</c:v>
                </c:pt>
                <c:pt idx="55">
                  <c:v>17.281720969183539</c:v>
                </c:pt>
                <c:pt idx="56">
                  <c:v>16.955810298903081</c:v>
                </c:pt>
                <c:pt idx="57">
                  <c:v>16.630625333455086</c:v>
                </c:pt>
                <c:pt idx="58">
                  <c:v>16.306168031906864</c:v>
                </c:pt>
                <c:pt idx="59">
                  <c:v>15.982440283914485</c:v>
                </c:pt>
                <c:pt idx="60">
                  <c:v>15.659443910242205</c:v>
                </c:pt>
                <c:pt idx="61">
                  <c:v>15.337180663284073</c:v>
                </c:pt>
                <c:pt idx="62">
                  <c:v>15.015652227587038</c:v>
                </c:pt>
                <c:pt idx="63">
                  <c:v>14.421229061497401</c:v>
                </c:pt>
                <c:pt idx="64">
                  <c:v>13.554480618298069</c:v>
                </c:pt>
                <c:pt idx="65">
                  <c:v>12.689766745873941</c:v>
                </c:pt>
                <c:pt idx="66">
                  <c:v>11.827098321536104</c:v>
                </c:pt>
                <c:pt idx="67">
                  <c:v>10.715631210216673</c:v>
                </c:pt>
                <c:pt idx="68">
                  <c:v>9.3559221738451637</c:v>
                </c:pt>
                <c:pt idx="69">
                  <c:v>7.5533408411050846</c:v>
                </c:pt>
                <c:pt idx="70">
                  <c:v>5.3089258103500434</c:v>
                </c:pt>
                <c:pt idx="71">
                  <c:v>3.0701355196992353</c:v>
                </c:pt>
                <c:pt idx="72">
                  <c:v>0.83703737177753723</c:v>
                </c:pt>
                <c:pt idx="73">
                  <c:v>-1.390304159900829</c:v>
                </c:pt>
                <c:pt idx="74">
                  <c:v>-3.6118275088667806</c:v>
                </c:pt>
                <c:pt idx="75">
                  <c:v>-5.827473992907894</c:v>
                </c:pt>
                <c:pt idx="76">
                  <c:v>-8.0371877905895683</c:v>
                </c:pt>
                <c:pt idx="77">
                  <c:v>-10.240915917118031</c:v>
                </c:pt>
                <c:pt idx="78">
                  <c:v>-12.438608199577441</c:v>
                </c:pt>
                <c:pt idx="79">
                  <c:v>-14.630217251572695</c:v>
                </c:pt>
                <c:pt idx="80">
                  <c:v>-16.815698447309114</c:v>
                </c:pt>
                <c:pt idx="81">
                  <c:v>-18.464166472132845</c:v>
                </c:pt>
                <c:pt idx="82">
                  <c:v>-19.5770788655106</c:v>
                </c:pt>
                <c:pt idx="83">
                  <c:v>-20.686863009765034</c:v>
                </c:pt>
                <c:pt idx="84">
                  <c:v>-21.793519136516281</c:v>
                </c:pt>
                <c:pt idx="85">
                  <c:v>-22.897048113263054</c:v>
                </c:pt>
                <c:pt idx="86">
                  <c:v>-23.997451435431294</c:v>
                </c:pt>
                <c:pt idx="87">
                  <c:v>-25.094731218431189</c:v>
                </c:pt>
                <c:pt idx="88">
                  <c:v>-26.188890189725598</c:v>
                </c:pt>
                <c:pt idx="89">
                  <c:v>-27.11219787832654</c:v>
                </c:pt>
                <c:pt idx="90">
                  <c:v>-27.865152965543288</c:v>
                </c:pt>
                <c:pt idx="91">
                  <c:v>-28.616007472724423</c:v>
                </c:pt>
                <c:pt idx="92">
                  <c:v>-29.364768542381071</c:v>
                </c:pt>
                <c:pt idx="93">
                  <c:v>-30.069502816948063</c:v>
                </c:pt>
                <c:pt idx="94">
                  <c:v>-30.730343280949132</c:v>
                </c:pt>
                <c:pt idx="95">
                  <c:v>-31.389366880781218</c:v>
                </c:pt>
                <c:pt idx="96">
                  <c:v>-32.046581564968463</c:v>
                </c:pt>
                <c:pt idx="97">
                  <c:v>-32.534214011357747</c:v>
                </c:pt>
                <c:pt idx="98">
                  <c:v>-32.852779030699843</c:v>
                </c:pt>
                <c:pt idx="99">
                  <c:v>-33.170578557510005</c:v>
                </c:pt>
                <c:pt idx="100">
                  <c:v>-33.487618002978664</c:v>
                </c:pt>
                <c:pt idx="101">
                  <c:v>-33.803902796378111</c:v>
                </c:pt>
                <c:pt idx="102">
                  <c:v>-34.119438384646173</c:v>
                </c:pt>
                <c:pt idx="103">
                  <c:v>-34.434230231977196</c:v>
                </c:pt>
                <c:pt idx="104">
                  <c:v>-34.748283819419761</c:v>
                </c:pt>
                <c:pt idx="105">
                  <c:v>-35.061604644481463</c:v>
                </c:pt>
                <c:pt idx="106">
                  <c:v>-35.374198220740396</c:v>
                </c:pt>
                <c:pt idx="107">
                  <c:v>-35.686070077463661</c:v>
                </c:pt>
                <c:pt idx="108">
                  <c:v>-35.997225759232549</c:v>
                </c:pt>
                <c:pt idx="109">
                  <c:v>-36.097919784362361</c:v>
                </c:pt>
                <c:pt idx="110">
                  <c:v>-35.988793206213664</c:v>
                </c:pt>
                <c:pt idx="111">
                  <c:v>-35.880231724357103</c:v>
                </c:pt>
                <c:pt idx="112">
                  <c:v>-35.772231433773712</c:v>
                </c:pt>
                <c:pt idx="113">
                  <c:v>-35.664788463285376</c:v>
                </c:pt>
                <c:pt idx="114">
                  <c:v>-35.557898975202008</c:v>
                </c:pt>
                <c:pt idx="115">
                  <c:v>-35.451559164973034</c:v>
                </c:pt>
                <c:pt idx="116">
                  <c:v>-35.345765260843187</c:v>
                </c:pt>
                <c:pt idx="117">
                  <c:v>-35.240513523512412</c:v>
                </c:pt>
                <c:pt idx="118">
                  <c:v>-35.135800245799821</c:v>
                </c:pt>
                <c:pt idx="119">
                  <c:v>-35.031621752311914</c:v>
                </c:pt>
                <c:pt idx="120">
                  <c:v>-34.927974399114561</c:v>
                </c:pt>
                <c:pt idx="121">
                  <c:v>-34.824854573409034</c:v>
                </c:pt>
                <c:pt idx="122">
                  <c:v>-34.722258693212041</c:v>
                </c:pt>
                <c:pt idx="123">
                  <c:v>-34.620183207039368</c:v>
                </c:pt>
                <c:pt idx="124">
                  <c:v>-34.518624593593515</c:v>
                </c:pt>
                <c:pt idx="125">
                  <c:v>-34.417579361454926</c:v>
                </c:pt>
                <c:pt idx="126">
                  <c:v>-34.317044048777021</c:v>
                </c:pt>
                <c:pt idx="127">
                  <c:v>-34.217015222984749</c:v>
                </c:pt>
                <c:pt idx="128">
                  <c:v>-34.117489480476777</c:v>
                </c:pt>
                <c:pt idx="129">
                  <c:v>-34.018463446331239</c:v>
                </c:pt>
                <c:pt idx="130">
                  <c:v>-33.919933774014929</c:v>
                </c:pt>
                <c:pt idx="131">
                  <c:v>-33.821897145095932</c:v>
                </c:pt>
                <c:pt idx="132">
                  <c:v>-33.724350268959725</c:v>
                </c:pt>
                <c:pt idx="133">
                  <c:v>-33.627289882528466</c:v>
                </c:pt>
                <c:pt idx="134">
                  <c:v>-33.53071274998377</c:v>
                </c:pt>
                <c:pt idx="135">
                  <c:v>-33.434615662492646</c:v>
                </c:pt>
                <c:pt idx="136">
                  <c:v>-33.338995437936589</c:v>
                </c:pt>
                <c:pt idx="137">
                  <c:v>-33.243848920644005</c:v>
                </c:pt>
                <c:pt idx="138">
                  <c:v>-33.149172981125616</c:v>
                </c:pt>
                <c:pt idx="139">
                  <c:v>-33.054964515813047</c:v>
                </c:pt>
                <c:pt idx="140">
                  <c:v>-32.961220446800361</c:v>
                </c:pt>
                <c:pt idx="141">
                  <c:v>-32.867937721588703</c:v>
                </c:pt>
                <c:pt idx="142">
                  <c:v>-32.775113312833859</c:v>
                </c:pt>
                <c:pt idx="143">
                  <c:v>-32.682744218096751</c:v>
                </c:pt>
                <c:pt idx="144">
                  <c:v>-32.590827459596781</c:v>
                </c:pt>
                <c:pt idx="145">
                  <c:v>-32.499360083968057</c:v>
                </c:pt>
                <c:pt idx="146">
                  <c:v>-32.408339162018478</c:v>
                </c:pt>
                <c:pt idx="147">
                  <c:v>-32.317761788491495</c:v>
                </c:pt>
                <c:pt idx="148">
                  <c:v>-32.227625081830681</c:v>
                </c:pt>
                <c:pt idx="149">
                  <c:v>-32.137926183946952</c:v>
                </c:pt>
                <c:pt idx="150">
                  <c:v>-32.048662259988518</c:v>
                </c:pt>
                <c:pt idx="151">
                  <c:v>-31.959830498113377</c:v>
                </c:pt>
                <c:pt idx="152">
                  <c:v>-31.871428109264521</c:v>
                </c:pt>
                <c:pt idx="153">
                  <c:v>-31.783452326947604</c:v>
                </c:pt>
                <c:pt idx="154">
                  <c:v>-31.695900407011152</c:v>
                </c:pt>
                <c:pt idx="155">
                  <c:v>-31.608769627429329</c:v>
                </c:pt>
                <c:pt idx="156">
                  <c:v>-31.522057288087147</c:v>
                </c:pt>
                <c:pt idx="157">
                  <c:v>-31.435760710568026</c:v>
                </c:pt>
                <c:pt idx="158">
                  <c:v>-31.349877237943886</c:v>
                </c:pt>
                <c:pt idx="159">
                  <c:v>-31.264404234567508</c:v>
                </c:pt>
                <c:pt idx="160">
                  <c:v>-31.179339085867284</c:v>
                </c:pt>
                <c:pt idx="161">
                  <c:v>-31.094679198144224</c:v>
                </c:pt>
                <c:pt idx="162">
                  <c:v>-31.010421998371346</c:v>
                </c:pt>
                <c:pt idx="163">
                  <c:v>-30.926564933995202</c:v>
                </c:pt>
                <c:pt idx="164">
                  <c:v>-30.843105472739666</c:v>
                </c:pt>
                <c:pt idx="165">
                  <c:v>-30.760041102411936</c:v>
                </c:pt>
                <c:pt idx="166">
                  <c:v>-30.677369330710704</c:v>
                </c:pt>
                <c:pt idx="167">
                  <c:v>-30.59508768503639</c:v>
                </c:pt>
                <c:pt idx="168">
                  <c:v>-30.513193712303583</c:v>
                </c:pt>
                <c:pt idx="169">
                  <c:v>-30.43168497875552</c:v>
                </c:pt>
                <c:pt idx="170">
                  <c:v>-30.350559069780594</c:v>
                </c:pt>
                <c:pt idx="171">
                  <c:v>-30.269813589730941</c:v>
                </c:pt>
                <c:pt idx="172">
                  <c:v>-30.189446161743007</c:v>
                </c:pt>
                <c:pt idx="173">
                  <c:v>-30.109454427560078</c:v>
                </c:pt>
                <c:pt idx="174">
                  <c:v>-30.029836047356824</c:v>
                </c:pt>
                <c:pt idx="175">
                  <c:v>-29.950588699565721</c:v>
                </c:pt>
                <c:pt idx="176">
                  <c:v>-29.871710080705345</c:v>
                </c:pt>
                <c:pt idx="177">
                  <c:v>-29.793197905210672</c:v>
                </c:pt>
                <c:pt idx="178">
                  <c:v>-29.715049905265047</c:v>
                </c:pt>
                <c:pt idx="179">
                  <c:v>-29.637263830634243</c:v>
                </c:pt>
                <c:pt idx="180">
                  <c:v>-29.559837448502044</c:v>
                </c:pt>
                <c:pt idx="181">
                  <c:v>-29.482768543307859</c:v>
                </c:pt>
                <c:pt idx="182">
                  <c:v>-29.406054916585937</c:v>
                </c:pt>
                <c:pt idx="183">
                  <c:v>-29.329694386806409</c:v>
                </c:pt>
                <c:pt idx="184">
                  <c:v>-29.253684789218099</c:v>
                </c:pt>
                <c:pt idx="185">
                  <c:v>-29.178023975692845</c:v>
                </c:pt>
                <c:pt idx="186">
                  <c:v>-29.102709814571774</c:v>
                </c:pt>
                <c:pt idx="187">
                  <c:v>-29.027740190512986</c:v>
                </c:pt>
                <c:pt idx="188">
                  <c:v>-28.953113004341024</c:v>
                </c:pt>
                <c:pt idx="189">
                  <c:v>-28.878826172897931</c:v>
                </c:pt>
                <c:pt idx="190">
                  <c:v>-28.804877628895895</c:v>
                </c:pt>
                <c:pt idx="191">
                  <c:v>-28.731265320771413</c:v>
                </c:pt>
                <c:pt idx="192">
                  <c:v>-28.657987212541229</c:v>
                </c:pt>
                <c:pt idx="193">
                  <c:v>-28.585041283659489</c:v>
                </c:pt>
                <c:pt idx="194">
                  <c:v>-28.512425528876712</c:v>
                </c:pt>
                <c:pt idx="195">
                  <c:v>-28.440137958100067</c:v>
                </c:pt>
                <c:pt idx="196">
                  <c:v>-28.368176596255338</c:v>
                </c:pt>
                <c:pt idx="197">
                  <c:v>-28.296539483150035</c:v>
                </c:pt>
                <c:pt idx="198">
                  <c:v>-28.225224673338317</c:v>
                </c:pt>
                <c:pt idx="199">
                  <c:v>-28.154230235987129</c:v>
                </c:pt>
                <c:pt idx="200">
                  <c:v>-28.083554254743781</c:v>
                </c:pt>
                <c:pt idx="201">
                  <c:v>-28.013194827604991</c:v>
                </c:pt>
                <c:pt idx="202">
                  <c:v>-27.319318220257244</c:v>
                </c:pt>
                <c:pt idx="203">
                  <c:v>-26.65587029727606</c:v>
                </c:pt>
                <c:pt idx="204">
                  <c:v>-26.021092590279395</c:v>
                </c:pt>
                <c:pt idx="205">
                  <c:v>-25.413352358303726</c:v>
                </c:pt>
                <c:pt idx="206">
                  <c:v>-24.831131851262519</c:v>
                </c:pt>
                <c:pt idx="207">
                  <c:v>-24.273018628224033</c:v>
                </c:pt>
                <c:pt idx="208">
                  <c:v>-23.737696813085179</c:v>
                </c:pt>
                <c:pt idx="209">
                  <c:v>-23.223939184732998</c:v>
                </c:pt>
                <c:pt idx="210">
                  <c:v>-22.730600011326317</c:v>
                </c:pt>
                <c:pt idx="211">
                  <c:v>-22.256608549191142</c:v>
                </c:pt>
                <c:pt idx="212">
                  <c:v>-21.800963136246889</c:v>
                </c:pt>
                <c:pt idx="213">
                  <c:v>-21.362725818075038</c:v>
                </c:pt>
                <c:pt idx="214">
                  <c:v>-20.941017451879702</c:v>
                </c:pt>
                <c:pt idx="215">
                  <c:v>-20.535013239820024</c:v>
                </c:pt>
                <c:pt idx="216">
                  <c:v>-20.143938648641903</c:v>
                </c:pt>
                <c:pt idx="217">
                  <c:v>-19.76706567730794</c:v>
                </c:pt>
                <c:pt idx="218">
                  <c:v>-19.403709438511111</c:v>
                </c:pt>
                <c:pt idx="219">
                  <c:v>-19.0532250236366</c:v>
                </c:pt>
                <c:pt idx="220">
                  <c:v>-18.715004623974352</c:v>
                </c:pt>
                <c:pt idx="221">
                  <c:v>-18.388474883839322</c:v>
                </c:pt>
                <c:pt idx="222">
                  <c:v>-18.073094463775696</c:v>
                </c:pt>
                <c:pt idx="223">
                  <c:v>-17.768351794248517</c:v>
                </c:pt>
                <c:pt idx="224">
                  <c:v>-17.473763002196556</c:v>
                </c:pt>
                <c:pt idx="225">
                  <c:v>-17.188869994566403</c:v>
                </c:pt>
                <c:pt idx="226">
                  <c:v>-16.913238684496037</c:v>
                </c:pt>
                <c:pt idx="227">
                  <c:v>-16.646457347190488</c:v>
                </c:pt>
                <c:pt idx="228">
                  <c:v>-16.388135093753071</c:v>
                </c:pt>
                <c:pt idx="229">
                  <c:v>-16.137900452320551</c:v>
                </c:pt>
                <c:pt idx="230">
                  <c:v>-15.895400046815233</c:v>
                </c:pt>
                <c:pt idx="231">
                  <c:v>-15.660297364484524</c:v>
                </c:pt>
                <c:pt idx="232">
                  <c:v>-15.432271604160768</c:v>
                </c:pt>
                <c:pt idx="233">
                  <c:v>-15.211016597851204</c:v>
                </c:pt>
                <c:pt idx="234">
                  <c:v>-14.996239798868729</c:v>
                </c:pt>
                <c:pt idx="235">
                  <c:v>-14.78766133024609</c:v>
                </c:pt>
                <c:pt idx="236">
                  <c:v>-14.585013087646312</c:v>
                </c:pt>
                <c:pt idx="237">
                  <c:v>-14.388037891396124</c:v>
                </c:pt>
                <c:pt idx="238">
                  <c:v>-14.196488682631554</c:v>
                </c:pt>
                <c:pt idx="239">
                  <c:v>-14.010127758860857</c:v>
                </c:pt>
                <c:pt idx="240">
                  <c:v>-13.828726044522151</c:v>
                </c:pt>
                <c:pt idx="241">
                  <c:v>-13.652062392345607</c:v>
                </c:pt>
                <c:pt idx="242">
                  <c:v>-13.479922911524724</c:v>
                </c:pt>
                <c:pt idx="243">
                  <c:v>-13.312100318860713</c:v>
                </c:pt>
                <c:pt idx="244">
                  <c:v>-13.148393309169819</c:v>
                </c:pt>
                <c:pt idx="245">
                  <c:v>-12.988605941337205</c:v>
                </c:pt>
                <c:pt idx="246">
                  <c:v>-12.832547036463666</c:v>
                </c:pt>
                <c:pt idx="247">
                  <c:v>-12.680029584583925</c:v>
                </c:pt>
                <c:pt idx="248">
                  <c:v>-12.530870156438059</c:v>
                </c:pt>
                <c:pt idx="249">
                  <c:v>-12.384888316751246</c:v>
                </c:pt>
                <c:pt idx="250">
                  <c:v>-12.241906035421577</c:v>
                </c:pt>
                <c:pt idx="251">
                  <c:v>-12.101747092931404</c:v>
                </c:pt>
                <c:pt idx="252">
                  <c:v>-11.964236476184789</c:v>
                </c:pt>
                <c:pt idx="253">
                  <c:v>-11.829199760832221</c:v>
                </c:pt>
                <c:pt idx="254">
                  <c:v>-11.696462475974386</c:v>
                </c:pt>
                <c:pt idx="255">
                  <c:v>-11.565849446940222</c:v>
                </c:pt>
                <c:pt idx="256">
                  <c:v>-11.437184111612174</c:v>
                </c:pt>
                <c:pt idx="257">
                  <c:v>-11.310287805525631</c:v>
                </c:pt>
                <c:pt idx="258">
                  <c:v>-11.184979010703483</c:v>
                </c:pt>
                <c:pt idx="259">
                  <c:v>-11.061072562905574</c:v>
                </c:pt>
                <c:pt idx="260">
                  <c:v>-10.938378811683531</c:v>
                </c:pt>
                <c:pt idx="261">
                  <c:v>-10.816702727344619</c:v>
                </c:pt>
                <c:pt idx="262">
                  <c:v>-10.695842948657065</c:v>
                </c:pt>
                <c:pt idx="263">
                  <c:v>-10.575590764893512</c:v>
                </c:pt>
                <c:pt idx="264">
                  <c:v>-10.455729025633609</c:v>
                </c:pt>
                <c:pt idx="265">
                  <c:v>-10.336030971665204</c:v>
                </c:pt>
                <c:pt idx="266">
                  <c:v>-10.216258980381088</c:v>
                </c:pt>
                <c:pt idx="267">
                  <c:v>-10.096163219321895</c:v>
                </c:pt>
                <c:pt idx="268">
                  <c:v>-9.9754802020418385</c:v>
                </c:pt>
                <c:pt idx="269">
                  <c:v>-9.8539312413683202</c:v>
                </c:pt>
                <c:pt idx="270">
                  <c:v>-9.73122079651327</c:v>
                </c:pt>
                <c:pt idx="271">
                  <c:v>-9.6070347125289768</c:v>
                </c:pt>
                <c:pt idx="272">
                  <c:v>-9.4810383534811429</c:v>
                </c:pt>
                <c:pt idx="273">
                  <c:v>-9.3528746346805711</c:v>
                </c:pt>
                <c:pt idx="274">
                  <c:v>-9.2221619646734396</c:v>
                </c:pt>
                <c:pt idx="275">
                  <c:v>-9.0884921148039712</c:v>
                </c:pt>
                <c:pt idx="276">
                  <c:v>-8.9514280434708251</c:v>
                </c:pt>
                <c:pt idx="277">
                  <c:v>-8.8105017142152686</c:v>
                </c:pt>
                <c:pt idx="278">
                  <c:v>-8.6652119620972066</c:v>
                </c:pt>
                <c:pt idx="279">
                  <c:v>-8.5150224820933271</c:v>
                </c:pt>
                <c:pt idx="280">
                  <c:v>-8.3593600371902657</c:v>
                </c:pt>
                <c:pt idx="281">
                  <c:v>-8.1976130131377012</c:v>
                </c:pt>
                <c:pt idx="282">
                  <c:v>-8.0291304820749332</c:v>
                </c:pt>
                <c:pt idx="283">
                  <c:v>-7.8532219788323001</c:v>
                </c:pt>
                <c:pt idx="284">
                  <c:v>-7.6691582416020685</c:v>
                </c:pt>
                <c:pt idx="285">
                  <c:v>-7.4761732221448129</c:v>
                </c:pt>
                <c:pt idx="286">
                  <c:v>-7.2734677279484803</c:v>
                </c:pt>
                <c:pt idx="287">
                  <c:v>-7.0602151164363542</c:v>
                </c:pt>
                <c:pt idx="288">
                  <c:v>-6.8355695139411337</c:v>
                </c:pt>
                <c:pt idx="289">
                  <c:v>-6.5986770714721814</c:v>
                </c:pt>
                <c:pt idx="290">
                  <c:v>-6.3486907836967124</c:v>
                </c:pt>
                <c:pt idx="291">
                  <c:v>-6.0847893717151891</c:v>
                </c:pt>
                <c:pt idx="292">
                  <c:v>-5.8062006452567561</c:v>
                </c:pt>
                <c:pt idx="293">
                  <c:v>-5.5122295944660316</c:v>
                </c:pt>
                <c:pt idx="294">
                  <c:v>-5.2022911940403702</c:v>
                </c:pt>
                <c:pt idx="295">
                  <c:v>-4.8759475158580861</c:v>
                </c:pt>
                <c:pt idx="296">
                  <c:v>-4.5329482337439284</c:v>
                </c:pt>
                <c:pt idx="297">
                  <c:v>-4.1732729777599964</c:v>
                </c:pt>
                <c:pt idx="298">
                  <c:v>-3.7971732951468655</c:v>
                </c:pt>
                <c:pt idx="299">
                  <c:v>-3.4052112753383437</c:v>
                </c:pt>
                <c:pt idx="300">
                  <c:v>-2.998291308559244</c:v>
                </c:pt>
                <c:pt idx="301">
                  <c:v>-2.5776811115876548</c:v>
                </c:pt>
                <c:pt idx="302">
                  <c:v>-2.1450182188943239</c:v>
                </c:pt>
                <c:pt idx="303">
                  <c:v>-1.702298725688512</c:v>
                </c:pt>
                <c:pt idx="304">
                  <c:v>-1.2518462370565626</c:v>
                </c:pt>
                <c:pt idx="305">
                  <c:v>-0.79626067356623698</c:v>
                </c:pt>
                <c:pt idx="306">
                  <c:v>-0.33834863068788895</c:v>
                </c:pt>
                <c:pt idx="307">
                  <c:v>0.11896090511622881</c:v>
                </c:pt>
                <c:pt idx="308">
                  <c:v>0.57270987255674943</c:v>
                </c:pt>
                <c:pt idx="309">
                  <c:v>1.0200067002623314</c:v>
                </c:pt>
                <c:pt idx="310">
                  <c:v>1.458117032492797</c:v>
                </c:pt>
                <c:pt idx="311">
                  <c:v>1.8845431556150971</c:v>
                </c:pt>
                <c:pt idx="312">
                  <c:v>2.297087098084412</c:v>
                </c:pt>
                <c:pt idx="313">
                  <c:v>2.6938943365192629</c:v>
                </c:pt>
                <c:pt idx="314">
                  <c:v>3.0734771717694382</c:v>
                </c:pt>
                <c:pt idx="315">
                  <c:v>3.4347187984447634</c:v>
                </c:pt>
                <c:pt idx="316">
                  <c:v>3.7768606213348912</c:v>
                </c:pt>
                <c:pt idx="317">
                  <c:v>4.0994763383382633</c:v>
                </c:pt>
                <c:pt idx="318">
                  <c:v>4.4024367015448513</c:v>
                </c:pt>
                <c:pt idx="319">
                  <c:v>4.6858687706367625</c:v>
                </c:pt>
                <c:pt idx="320">
                  <c:v>4.9501130235284441</c:v>
                </c:pt>
                <c:pt idx="321">
                  <c:v>5.1956810384626451</c:v>
                </c:pt>
                <c:pt idx="322">
                  <c:v>5.4232157426230811</c:v>
                </c:pt>
                <c:pt idx="323">
                  <c:v>5.6334555343650674</c:v>
                </c:pt>
                <c:pt idx="324">
                  <c:v>5.8272029917126806</c:v>
                </c:pt>
                <c:pt idx="325">
                  <c:v>6.0052984080273619</c:v>
                </c:pt>
                <c:pt idx="326">
                  <c:v>6.1685980510335998</c:v>
                </c:pt>
                <c:pt idx="327">
                  <c:v>6.3179568120917882</c:v>
                </c:pt>
                <c:pt idx="328">
                  <c:v>6.4542147789700115</c:v>
                </c:pt>
                <c:pt idx="329">
                  <c:v>6.5781872051681702</c:v>
                </c:pt>
                <c:pt idx="330">
                  <c:v>6.6906573410548118</c:v>
                </c:pt>
                <c:pt idx="331">
                  <c:v>6.7923716187486747</c:v>
                </c:pt>
                <c:pt idx="332">
                  <c:v>6.8840367296502469</c:v>
                </c:pt>
                <c:pt idx="333">
                  <c:v>6.9663181903384448</c:v>
                </c:pt>
                <c:pt idx="334">
                  <c:v>7.0398400519426838</c:v>
                </c:pt>
                <c:pt idx="335">
                  <c:v>7.1051854654109166</c:v>
                </c:pt>
                <c:pt idx="336">
                  <c:v>7.1628978675930126</c:v>
                </c:pt>
                <c:pt idx="337">
                  <c:v>7.2134825994042764</c:v>
                </c:pt>
                <c:pt idx="338">
                  <c:v>7.2574088071150307</c:v>
                </c:pt>
                <c:pt idx="339">
                  <c:v>7.2951115112039808</c:v>
                </c:pt>
                <c:pt idx="340">
                  <c:v>7.3269937547266411</c:v>
                </c:pt>
                <c:pt idx="341">
                  <c:v>7.3534287654601904</c:v>
                </c:pt>
                <c:pt idx="342">
                  <c:v>7.3747620839193786</c:v>
                </c:pt>
                <c:pt idx="343">
                  <c:v>7.3913136234029704</c:v>
                </c:pt>
                <c:pt idx="344">
                  <c:v>7.4033796391787643</c:v>
                </c:pt>
                <c:pt idx="345">
                  <c:v>7.411234592324476</c:v>
                </c:pt>
                <c:pt idx="346">
                  <c:v>7.4151329001079862</c:v>
                </c:pt>
                <c:pt idx="347">
                  <c:v>7.4153105695315098</c:v>
                </c:pt>
                <c:pt idx="348">
                  <c:v>7.4119867141263613</c:v>
                </c:pt>
                <c:pt idx="349">
                  <c:v>7.4053649565504447</c:v>
                </c:pt>
                <c:pt idx="350">
                  <c:v>7.3956347212376912</c:v>
                </c:pt>
                <c:pt idx="351">
                  <c:v>7.3829724224594635</c:v>
                </c:pt>
                <c:pt idx="352">
                  <c:v>7.3675425538270574</c:v>
                </c:pt>
                <c:pt idx="353">
                  <c:v>7.3494986856046758</c:v>
                </c:pt>
                <c:pt idx="354">
                  <c:v>7.3289843763025875</c:v>
                </c:pt>
                <c:pt idx="355">
                  <c:v>7.3061340049482038</c:v>
                </c:pt>
                <c:pt idx="356">
                  <c:v>7.2810735302412608</c:v>
                </c:pt>
                <c:pt idx="357">
                  <c:v>7.2539211825276597</c:v>
                </c:pt>
                <c:pt idx="358">
                  <c:v>7.224788094204686</c:v>
                </c:pt>
                <c:pt idx="359">
                  <c:v>7.1937788738206105</c:v>
                </c:pt>
                <c:pt idx="360">
                  <c:v>7.1609921287701255</c:v>
                </c:pt>
                <c:pt idx="361">
                  <c:v>7.1265209411254844</c:v>
                </c:pt>
                <c:pt idx="362">
                  <c:v>7.0904533007898909</c:v>
                </c:pt>
                <c:pt idx="363">
                  <c:v>7.0528724998197934</c:v>
                </c:pt>
                <c:pt idx="364">
                  <c:v>7.0138574914404899</c:v>
                </c:pt>
                <c:pt idx="365">
                  <c:v>6.9734832169762075</c:v>
                </c:pt>
                <c:pt idx="366">
                  <c:v>6.9318209036332563</c:v>
                </c:pt>
                <c:pt idx="367">
                  <c:v>6.8889383358127549</c:v>
                </c:pt>
                <c:pt idx="368">
                  <c:v>6.8449001023877525</c:v>
                </c:pt>
                <c:pt idx="369">
                  <c:v>6.7997678221574898</c:v>
                </c:pt>
                <c:pt idx="370">
                  <c:v>6.7536003494881829</c:v>
                </c:pt>
                <c:pt idx="371">
                  <c:v>6.7064539619640371</c:v>
                </c:pt>
                <c:pt idx="372">
                  <c:v>6.658382531702836</c:v>
                </c:pt>
                <c:pt idx="373">
                  <c:v>6.6094376818366083</c:v>
                </c:pt>
                <c:pt idx="374">
                  <c:v>6.5596689295178372</c:v>
                </c:pt>
                <c:pt idx="375">
                  <c:v>6.5091238166848591</c:v>
                </c:pt>
                <c:pt idx="376">
                  <c:v>6.4578480297049108</c:v>
                </c:pt>
                <c:pt idx="377">
                  <c:v>6.4058855089090772</c:v>
                </c:pt>
                <c:pt idx="378">
                  <c:v>6.3532785489388726</c:v>
                </c:pt>
                <c:pt idx="379">
                  <c:v>6.3000678907387666</c:v>
                </c:pt>
                <c:pt idx="380">
                  <c:v>6.2462928059515477</c:v>
                </c:pt>
                <c:pt idx="381">
                  <c:v>6.1919911744033387</c:v>
                </c:pt>
                <c:pt idx="382">
                  <c:v>6.1371995553018142</c:v>
                </c:pt>
                <c:pt idx="383">
                  <c:v>6.0819532527136584</c:v>
                </c:pt>
                <c:pt idx="384">
                  <c:v>6.0262863758354337</c:v>
                </c:pt>
                <c:pt idx="385">
                  <c:v>5.9702318945250585</c:v>
                </c:pt>
                <c:pt idx="386">
                  <c:v>5.9138216905183558</c:v>
                </c:pt>
                <c:pt idx="387">
                  <c:v>5.8570866047167147</c:v>
                </c:pt>
                <c:pt idx="388">
                  <c:v>5.8000564808967656</c:v>
                </c:pt>
                <c:pt idx="389">
                  <c:v>5.742760206161444</c:v>
                </c:pt>
                <c:pt idx="390">
                  <c:v>5.6852257484228286</c:v>
                </c:pt>
                <c:pt idx="391">
                  <c:v>5.6274801911812595</c:v>
                </c:pt>
                <c:pt idx="392">
                  <c:v>5.5695497658413675</c:v>
                </c:pt>
                <c:pt idx="393">
                  <c:v>5.5114598817842575</c:v>
                </c:pt>
                <c:pt idx="394">
                  <c:v>5.453235154395383</c:v>
                </c:pt>
                <c:pt idx="395">
                  <c:v>5.3948994312300202</c:v>
                </c:pt>
                <c:pt idx="396">
                  <c:v>5.3364758164819044</c:v>
                </c:pt>
                <c:pt idx="397">
                  <c:v>5.2779866939060316</c:v>
                </c:pt>
                <c:pt idx="398">
                  <c:v>5.2194537483331045</c:v>
                </c:pt>
                <c:pt idx="399">
                  <c:v>5.1608979859009159</c:v>
                </c:pt>
                <c:pt idx="400">
                  <c:v>5.1023397531168504</c:v>
                </c:pt>
                <c:pt idx="401">
                  <c:v>5.0437987548555947</c:v>
                </c:pt>
                <c:pt idx="402">
                  <c:v>4.9852940713867175</c:v>
                </c:pt>
                <c:pt idx="403">
                  <c:v>4.9268441745185383</c:v>
                </c:pt>
                <c:pt idx="404">
                  <c:v>4.868466942936859</c:v>
                </c:pt>
                <c:pt idx="405">
                  <c:v>4.8101796768101748</c:v>
                </c:pt>
                <c:pt idx="406">
                  <c:v>4.7519991117264437</c:v>
                </c:pt>
                <c:pt idx="407">
                  <c:v>4.6939414320207673</c:v>
                </c:pt>
                <c:pt idx="408">
                  <c:v>4.6360222835478551</c:v>
                </c:pt>
                <c:pt idx="409">
                  <c:v>4.5782567859482564</c:v>
                </c:pt>
                <c:pt idx="410">
                  <c:v>4.5206595444528697</c:v>
                </c:pt>
                <c:pt idx="411">
                  <c:v>4.463244661266188</c:v>
                </c:pt>
                <c:pt idx="412">
                  <c:v>4.4060257465648469</c:v>
                </c:pt>
                <c:pt idx="413">
                  <c:v>4.3490159291447794</c:v>
                </c:pt>
                <c:pt idx="414">
                  <c:v>4.2922278667470186</c:v>
                </c:pt>
                <c:pt idx="415">
                  <c:v>4.2356737560893558</c:v>
                </c:pt>
                <c:pt idx="416">
                  <c:v>4.1793653426284898</c:v>
                </c:pt>
                <c:pt idx="417">
                  <c:v>4.1233139300748185</c:v>
                </c:pt>
                <c:pt idx="418">
                  <c:v>4.0675303896798853</c:v>
                </c:pt>
                <c:pt idx="419">
                  <c:v>4.0120251693144589</c:v>
                </c:pt>
                <c:pt idx="420">
                  <c:v>3.9568083023534726</c:v>
                </c:pt>
                <c:pt idx="421">
                  <c:v>3.9018894163822528</c:v>
                </c:pt>
                <c:pt idx="422">
                  <c:v>3.847277741737023</c:v>
                </c:pt>
                <c:pt idx="423">
                  <c:v>3.7929821198912927</c:v>
                </c:pt>
                <c:pt idx="424">
                  <c:v>3.739011011698457</c:v>
                </c:pt>
                <c:pt idx="425">
                  <c:v>3.6853725054996724</c:v>
                </c:pt>
                <c:pt idx="426">
                  <c:v>3.632074325105294</c:v>
                </c:pt>
                <c:pt idx="427">
                  <c:v>3.5791238376568373</c:v>
                </c:pt>
                <c:pt idx="428">
                  <c:v>3.5265280613759398</c:v>
                </c:pt>
                <c:pt idx="429">
                  <c:v>3.4742936732056959</c:v>
                </c:pt>
                <c:pt idx="430">
                  <c:v>3.4224270163492614</c:v>
                </c:pt>
                <c:pt idx="431">
                  <c:v>3.3709341077098296</c:v>
                </c:pt>
                <c:pt idx="432">
                  <c:v>3.3198206452355787</c:v>
                </c:pt>
                <c:pt idx="433">
                  <c:v>3.2690920151726734</c:v>
                </c:pt>
                <c:pt idx="434">
                  <c:v>3.2187532992288759</c:v>
                </c:pt>
                <c:pt idx="435">
                  <c:v>3.1688092816499722</c:v>
                </c:pt>
                <c:pt idx="436">
                  <c:v>3.1192644562107716</c:v>
                </c:pt>
                <c:pt idx="437">
                  <c:v>3.0701230331222131</c:v>
                </c:pt>
                <c:pt idx="438">
                  <c:v>3.0213889458556684</c:v>
                </c:pt>
                <c:pt idx="439">
                  <c:v>2.9730658578854401</c:v>
                </c:pt>
                <c:pt idx="440">
                  <c:v>2.925157169350042</c:v>
                </c:pt>
                <c:pt idx="441">
                  <c:v>2.8776660236328269</c:v>
                </c:pt>
                <c:pt idx="442">
                  <c:v>2.8305953138622133</c:v>
                </c:pt>
                <c:pt idx="443">
                  <c:v>2.7839476893316988</c:v>
                </c:pt>
                <c:pt idx="444">
                  <c:v>2.7377255618396479</c:v>
                </c:pt>
                <c:pt idx="445">
                  <c:v>2.6919311119488638</c:v>
                </c:pt>
                <c:pt idx="446">
                  <c:v>2.6465662951656634</c:v>
                </c:pt>
                <c:pt idx="447">
                  <c:v>2.601632848038304</c:v>
                </c:pt>
                <c:pt idx="448">
                  <c:v>2.5571322941744432</c:v>
                </c:pt>
                <c:pt idx="449">
                  <c:v>2.5130659501772339</c:v>
                </c:pt>
                <c:pt idx="450">
                  <c:v>2.469434931499813</c:v>
                </c:pt>
                <c:pt idx="451">
                  <c:v>2.4262401582176141</c:v>
                </c:pt>
                <c:pt idx="452">
                  <c:v>2.3834823607182862</c:v>
                </c:pt>
                <c:pt idx="453">
                  <c:v>2.3411620853086648</c:v>
                </c:pt>
                <c:pt idx="454">
                  <c:v>2.2992796997384577</c:v>
                </c:pt>
                <c:pt idx="455">
                  <c:v>2.2578353986403039</c:v>
                </c:pt>
                <c:pt idx="456">
                  <c:v>2.2168292088857759</c:v>
                </c:pt>
                <c:pt idx="457">
                  <c:v>2.1762609948569489</c:v>
                </c:pt>
                <c:pt idx="458">
                  <c:v>2.1361304636333669</c:v>
                </c:pt>
                <c:pt idx="459">
                  <c:v>2.0964371700939823</c:v>
                </c:pt>
                <c:pt idx="460">
                  <c:v>2.0571805219339216</c:v>
                </c:pt>
                <c:pt idx="461">
                  <c:v>2.0183597845958277</c:v>
                </c:pt>
                <c:pt idx="462">
                  <c:v>1.9799740861156199</c:v>
                </c:pt>
                <c:pt idx="463">
                  <c:v>1.9420224218826201</c:v>
                </c:pt>
                <c:pt idx="464">
                  <c:v>1.9045036593139173</c:v>
                </c:pt>
                <c:pt idx="465">
                  <c:v>1.8674165424429292</c:v>
                </c:pt>
                <c:pt idx="466">
                  <c:v>1.8307596964223327</c:v>
                </c:pt>
                <c:pt idx="467">
                  <c:v>1.7945316319411901</c:v>
                </c:pt>
                <c:pt idx="468">
                  <c:v>1.7587307495567082</c:v>
                </c:pt>
                <c:pt idx="469">
                  <c:v>1.7233553439405238</c:v>
                </c:pt>
                <c:pt idx="470">
                  <c:v>1.6884036080399287</c:v>
                </c:pt>
                <c:pt idx="471">
                  <c:v>1.65387363715422</c:v>
                </c:pt>
                <c:pt idx="472">
                  <c:v>1.6197634329265167</c:v>
                </c:pt>
                <c:pt idx="473">
                  <c:v>1.5860709072514325</c:v>
                </c:pt>
                <c:pt idx="474">
                  <c:v>1.552793886098959</c:v>
                </c:pt>
                <c:pt idx="475">
                  <c:v>1.5199301132551426</c:v>
                </c:pt>
                <c:pt idx="476">
                  <c:v>1.4874772539798631</c:v>
                </c:pt>
                <c:pt idx="477">
                  <c:v>1.4554328985824547</c:v>
                </c:pt>
                <c:pt idx="478">
                  <c:v>1.4237945659156779</c:v>
                </c:pt>
                <c:pt idx="479">
                  <c:v>1.3925597067885747</c:v>
                </c:pt>
                <c:pt idx="480">
                  <c:v>1.3617257072990654</c:v>
                </c:pt>
                <c:pt idx="481">
                  <c:v>1.3312898920868257</c:v>
                </c:pt>
                <c:pt idx="482">
                  <c:v>1.3012495275072347</c:v>
                </c:pt>
                <c:pt idx="483">
                  <c:v>1.2716018247272114</c:v>
                </c:pt>
                <c:pt idx="484">
                  <c:v>1.2423439427436094</c:v>
                </c:pt>
                <c:pt idx="485">
                  <c:v>1.2134729913251725</c:v>
                </c:pt>
                <c:pt idx="486">
                  <c:v>1.1849860338787792</c:v>
                </c:pt>
                <c:pt idx="487">
                  <c:v>1.1568800902408842</c:v>
                </c:pt>
                <c:pt idx="488">
                  <c:v>1.1291521393951456</c:v>
                </c:pt>
                <c:pt idx="489">
                  <c:v>1.1017991221170327</c:v>
                </c:pt>
                <c:pt idx="490">
                  <c:v>1.0748179435465328</c:v>
                </c:pt>
                <c:pt idx="491">
                  <c:v>1.0482054756897803</c:v>
                </c:pt>
                <c:pt idx="492">
                  <c:v>1.0219585598507024</c:v>
                </c:pt>
                <c:pt idx="493">
                  <c:v>0.99607400899366816</c:v>
                </c:pt>
                <c:pt idx="494">
                  <c:v>0.97054861003810089</c:v>
                </c:pt>
                <c:pt idx="495">
                  <c:v>0.94537912608624453</c:v>
                </c:pt>
                <c:pt idx="496">
                  <c:v>0.92056229858490823</c:v>
                </c:pt>
                <c:pt idx="497">
                  <c:v>0.89609484942250184</c:v>
                </c:pt>
                <c:pt idx="498">
                  <c:v>0.87197348296224853</c:v>
                </c:pt>
                <c:pt idx="499">
                  <c:v>0.84819488801275611</c:v>
                </c:pt>
                <c:pt idx="500">
                  <c:v>0.82475573973692207</c:v>
                </c:pt>
                <c:pt idx="501">
                  <c:v>0.80165270150042645</c:v>
                </c:pt>
                <c:pt idx="502">
                  <c:v>0.77888242666077012</c:v>
                </c:pt>
                <c:pt idx="503">
                  <c:v>0.75644156029800946</c:v>
                </c:pt>
                <c:pt idx="504">
                  <c:v>0.73432674088827099</c:v>
                </c:pt>
                <c:pt idx="505">
                  <c:v>0.71253460192119356</c:v>
                </c:pt>
                <c:pt idx="506">
                  <c:v>0.69106177346233721</c:v>
                </c:pt>
                <c:pt idx="507">
                  <c:v>0.66990488366166545</c:v>
                </c:pt>
                <c:pt idx="508">
                  <c:v>0.64906056020927494</c:v>
                </c:pt>
                <c:pt idx="509">
                  <c:v>0.62852543173932851</c:v>
                </c:pt>
                <c:pt idx="510">
                  <c:v>0.60829612918342768</c:v>
                </c:pt>
                <c:pt idx="511">
                  <c:v>0.58836928707440173</c:v>
                </c:pt>
                <c:pt idx="512">
                  <c:v>0.56874154480161287</c:v>
                </c:pt>
                <c:pt idx="513">
                  <c:v>0.54940954781894291</c:v>
                </c:pt>
                <c:pt idx="514">
                  <c:v>0.53036994880632093</c:v>
                </c:pt>
                <c:pt idx="515">
                  <c:v>0.51161940878611034</c:v>
                </c:pt>
                <c:pt idx="516">
                  <c:v>0.49315459819515439</c:v>
                </c:pt>
                <c:pt idx="517">
                  <c:v>0.47497219791370604</c:v>
                </c:pt>
                <c:pt idx="518">
                  <c:v>0.47495431729579352</c:v>
                </c:pt>
                <c:pt idx="519">
                  <c:v>0.47493643695223042</c:v>
                </c:pt>
                <c:pt idx="520">
                  <c:v>0.47491855688298834</c:v>
                </c:pt>
                <c:pt idx="521">
                  <c:v>0.4749006770880797</c:v>
                </c:pt>
                <c:pt idx="522">
                  <c:v>0.47488279756750806</c:v>
                </c:pt>
                <c:pt idx="523">
                  <c:v>0.47486491832125388</c:v>
                </c:pt>
                <c:pt idx="524">
                  <c:v>0.47484703934931538</c:v>
                </c:pt>
                <c:pt idx="525">
                  <c:v>0.47482916065170677</c:v>
                </c:pt>
                <c:pt idx="526">
                  <c:v>0.47481128222840319</c:v>
                </c:pt>
                <c:pt idx="527">
                  <c:v>0.47479340407941706</c:v>
                </c:pt>
                <c:pt idx="528">
                  <c:v>0.47477552620473418</c:v>
                </c:pt>
                <c:pt idx="529">
                  <c:v>0.47475764860435987</c:v>
                </c:pt>
                <c:pt idx="530">
                  <c:v>0.47473977127829237</c:v>
                </c:pt>
                <c:pt idx="531">
                  <c:v>0.47472189422651567</c:v>
                </c:pt>
                <c:pt idx="532">
                  <c:v>0.47470401744903867</c:v>
                </c:pt>
                <c:pt idx="533">
                  <c:v>0.47468614094584716</c:v>
                </c:pt>
                <c:pt idx="534">
                  <c:v>0.47466826471695356</c:v>
                </c:pt>
                <c:pt idx="535">
                  <c:v>0.47465038876234544</c:v>
                </c:pt>
                <c:pt idx="536">
                  <c:v>0.47463251308200505</c:v>
                </c:pt>
                <c:pt idx="537">
                  <c:v>0.47461463767596435</c:v>
                </c:pt>
                <c:pt idx="538">
                  <c:v>0.47459676254418781</c:v>
                </c:pt>
                <c:pt idx="539">
                  <c:v>0.47457888768668965</c:v>
                </c:pt>
                <c:pt idx="540">
                  <c:v>0.47456101310346099</c:v>
                </c:pt>
                <c:pt idx="541">
                  <c:v>0.47454313879449295</c:v>
                </c:pt>
                <c:pt idx="542">
                  <c:v>0.47452526475979262</c:v>
                </c:pt>
                <c:pt idx="543">
                  <c:v>0.47450739099935113</c:v>
                </c:pt>
                <c:pt idx="544">
                  <c:v>0.47448951751317026</c:v>
                </c:pt>
                <c:pt idx="545">
                  <c:v>0.47447164430123756</c:v>
                </c:pt>
                <c:pt idx="546">
                  <c:v>0.47445377136356015</c:v>
                </c:pt>
                <c:pt idx="547">
                  <c:v>0.47443589870012559</c:v>
                </c:pt>
                <c:pt idx="548">
                  <c:v>0.47441802631093566</c:v>
                </c:pt>
                <c:pt idx="549">
                  <c:v>0.47440015419598858</c:v>
                </c:pt>
                <c:pt idx="550">
                  <c:v>0.47438228235528079</c:v>
                </c:pt>
                <c:pt idx="551">
                  <c:v>0.47436441078880343</c:v>
                </c:pt>
                <c:pt idx="552">
                  <c:v>0.47434653949655115</c:v>
                </c:pt>
                <c:pt idx="553">
                  <c:v>0.47432866847853639</c:v>
                </c:pt>
                <c:pt idx="554">
                  <c:v>0.47431079773474316</c:v>
                </c:pt>
                <c:pt idx="555">
                  <c:v>0.47429292726517325</c:v>
                </c:pt>
                <c:pt idx="556">
                  <c:v>0.47427505706981421</c:v>
                </c:pt>
                <c:pt idx="557">
                  <c:v>0.47425718714867848</c:v>
                </c:pt>
                <c:pt idx="558">
                  <c:v>0.47423931750174653</c:v>
                </c:pt>
                <c:pt idx="559">
                  <c:v>0.47422144812903255</c:v>
                </c:pt>
                <c:pt idx="560">
                  <c:v>0.47420357903051524</c:v>
                </c:pt>
                <c:pt idx="561">
                  <c:v>0.47418571020620526</c:v>
                </c:pt>
                <c:pt idx="562">
                  <c:v>0.47416784165609371</c:v>
                </c:pt>
                <c:pt idx="563">
                  <c:v>0.47414997338017706</c:v>
                </c:pt>
                <c:pt idx="564">
                  <c:v>0.47413210537845174</c:v>
                </c:pt>
                <c:pt idx="565">
                  <c:v>0.47411423765091776</c:v>
                </c:pt>
                <c:pt idx="566">
                  <c:v>0.47409637019756623</c:v>
                </c:pt>
                <c:pt idx="567">
                  <c:v>0.47407850301840249</c:v>
                </c:pt>
                <c:pt idx="568">
                  <c:v>0.47406063611341054</c:v>
                </c:pt>
                <c:pt idx="569">
                  <c:v>0.47404276948259927</c:v>
                </c:pt>
                <c:pt idx="570">
                  <c:v>0.47402490312596512</c:v>
                </c:pt>
                <c:pt idx="571">
                  <c:v>0.4740070370434939</c:v>
                </c:pt>
                <c:pt idx="572">
                  <c:v>0.47398917123519801</c:v>
                </c:pt>
                <c:pt idx="573">
                  <c:v>0.47397130570105439</c:v>
                </c:pt>
                <c:pt idx="574">
                  <c:v>0.47395344044107546</c:v>
                </c:pt>
                <c:pt idx="575">
                  <c:v>0.47393557545525411</c:v>
                </c:pt>
                <c:pt idx="576">
                  <c:v>0.4739177107435868</c:v>
                </c:pt>
                <c:pt idx="577">
                  <c:v>0.47389984630606996</c:v>
                </c:pt>
                <c:pt idx="578">
                  <c:v>0.47388198214270005</c:v>
                </c:pt>
                <c:pt idx="579">
                  <c:v>0.47386411825347707</c:v>
                </c:pt>
                <c:pt idx="580">
                  <c:v>0.47384625463839036</c:v>
                </c:pt>
                <c:pt idx="581">
                  <c:v>0.47382839129743815</c:v>
                </c:pt>
                <c:pt idx="582">
                  <c:v>0.4738105282306293</c:v>
                </c:pt>
                <c:pt idx="583">
                  <c:v>0.47379266543794785</c:v>
                </c:pt>
                <c:pt idx="584">
                  <c:v>0.47377480291938845</c:v>
                </c:pt>
                <c:pt idx="585">
                  <c:v>0.47375694067495822</c:v>
                </c:pt>
                <c:pt idx="586">
                  <c:v>0.47373907870465537</c:v>
                </c:pt>
                <c:pt idx="587">
                  <c:v>0.47372121700846392</c:v>
                </c:pt>
                <c:pt idx="588">
                  <c:v>0.47370335558638921</c:v>
                </c:pt>
                <c:pt idx="589">
                  <c:v>0.47368549443842234</c:v>
                </c:pt>
                <c:pt idx="590">
                  <c:v>0.47366763356457042</c:v>
                </c:pt>
                <c:pt idx="591">
                  <c:v>0.47364977296482103</c:v>
                </c:pt>
                <c:pt idx="592">
                  <c:v>0.47363191263917592</c:v>
                </c:pt>
                <c:pt idx="593">
                  <c:v>0.47361405258762446</c:v>
                </c:pt>
                <c:pt idx="594">
                  <c:v>0.47359619281017373</c:v>
                </c:pt>
                <c:pt idx="595">
                  <c:v>0.47357833330681487</c:v>
                </c:pt>
                <c:pt idx="596">
                  <c:v>0.47356047407754609</c:v>
                </c:pt>
                <c:pt idx="597">
                  <c:v>0.47354261512235851</c:v>
                </c:pt>
                <c:pt idx="598">
                  <c:v>0.47352475644125924</c:v>
                </c:pt>
                <c:pt idx="599">
                  <c:v>0.47350689803423585</c:v>
                </c:pt>
                <c:pt idx="600">
                  <c:v>0.4734890399012901</c:v>
                </c:pt>
                <c:pt idx="601">
                  <c:v>0.473471182042422</c:v>
                </c:pt>
                <c:pt idx="602">
                  <c:v>0.47345332445761734</c:v>
                </c:pt>
                <c:pt idx="603">
                  <c:v>0.47343546714688323</c:v>
                </c:pt>
                <c:pt idx="604">
                  <c:v>0.47341761011020722</c:v>
                </c:pt>
                <c:pt idx="605">
                  <c:v>0.47339975334759643</c:v>
                </c:pt>
                <c:pt idx="606">
                  <c:v>0.47338189685904197</c:v>
                </c:pt>
                <c:pt idx="607">
                  <c:v>0.47336404064453852</c:v>
                </c:pt>
                <c:pt idx="608">
                  <c:v>0.47334618470409318</c:v>
                </c:pt>
                <c:pt idx="609">
                  <c:v>0.47332832903768995</c:v>
                </c:pt>
                <c:pt idx="610">
                  <c:v>0.47331047364533241</c:v>
                </c:pt>
                <c:pt idx="611">
                  <c:v>0.47329261852701165</c:v>
                </c:pt>
                <c:pt idx="612">
                  <c:v>0.4732747636827348</c:v>
                </c:pt>
                <c:pt idx="613">
                  <c:v>0.47325690911248408</c:v>
                </c:pt>
                <c:pt idx="614">
                  <c:v>0.4732390548162666</c:v>
                </c:pt>
                <c:pt idx="615">
                  <c:v>0.47322120079408414</c:v>
                </c:pt>
                <c:pt idx="616">
                  <c:v>0.47320334704592071</c:v>
                </c:pt>
                <c:pt idx="617">
                  <c:v>0.47318549357177808</c:v>
                </c:pt>
                <c:pt idx="618">
                  <c:v>0.47316764037165449</c:v>
                </c:pt>
                <c:pt idx="619">
                  <c:v>0.47314978744555169</c:v>
                </c:pt>
                <c:pt idx="620">
                  <c:v>0.4731319347934555</c:v>
                </c:pt>
                <c:pt idx="621">
                  <c:v>0.47311408241536768</c:v>
                </c:pt>
                <c:pt idx="622">
                  <c:v>0.47309623031128822</c:v>
                </c:pt>
                <c:pt idx="623">
                  <c:v>0.47307837848120826</c:v>
                </c:pt>
                <c:pt idx="624">
                  <c:v>0.47306052692513134</c:v>
                </c:pt>
                <c:pt idx="625">
                  <c:v>0.47304267564304858</c:v>
                </c:pt>
                <c:pt idx="626">
                  <c:v>0.47302482463495465</c:v>
                </c:pt>
                <c:pt idx="627">
                  <c:v>0.47300697390085311</c:v>
                </c:pt>
                <c:pt idx="628">
                  <c:v>0.47298912344073862</c:v>
                </c:pt>
                <c:pt idx="629">
                  <c:v>0.47297127325460941</c:v>
                </c:pt>
                <c:pt idx="630">
                  <c:v>0.4729534233424566</c:v>
                </c:pt>
                <c:pt idx="631">
                  <c:v>0.47293557370427663</c:v>
                </c:pt>
                <c:pt idx="632">
                  <c:v>0.47291772434007129</c:v>
                </c:pt>
                <c:pt idx="633">
                  <c:v>0.47289987524984234</c:v>
                </c:pt>
                <c:pt idx="634">
                  <c:v>0.47288202643357558</c:v>
                </c:pt>
                <c:pt idx="635">
                  <c:v>0.47286417789127633</c:v>
                </c:pt>
                <c:pt idx="636">
                  <c:v>0.47284632962292861</c:v>
                </c:pt>
                <c:pt idx="637">
                  <c:v>0.47282848162855018</c:v>
                </c:pt>
                <c:pt idx="638">
                  <c:v>0.47281063390811617</c:v>
                </c:pt>
                <c:pt idx="639">
                  <c:v>0.4727927864616337</c:v>
                </c:pt>
                <c:pt idx="640">
                  <c:v>0.47277493928910452</c:v>
                </c:pt>
                <c:pt idx="641">
                  <c:v>0.47275709239051977</c:v>
                </c:pt>
                <c:pt idx="642">
                  <c:v>0.47273924576587056</c:v>
                </c:pt>
                <c:pt idx="643">
                  <c:v>0.47272139941516222</c:v>
                </c:pt>
                <c:pt idx="644">
                  <c:v>0.47270355333838587</c:v>
                </c:pt>
                <c:pt idx="645">
                  <c:v>0.47268570753554329</c:v>
                </c:pt>
                <c:pt idx="646">
                  <c:v>0.47266786200662736</c:v>
                </c:pt>
                <c:pt idx="647">
                  <c:v>0.47265001675164342</c:v>
                </c:pt>
                <c:pt idx="648">
                  <c:v>0.47263217177057371</c:v>
                </c:pt>
                <c:pt idx="649">
                  <c:v>0.47261432706341999</c:v>
                </c:pt>
                <c:pt idx="650">
                  <c:v>0.47259648263019116</c:v>
                </c:pt>
                <c:pt idx="651">
                  <c:v>0.47257863847086412</c:v>
                </c:pt>
                <c:pt idx="652">
                  <c:v>0.47256079458545308</c:v>
                </c:pt>
                <c:pt idx="653">
                  <c:v>0.47254295097394561</c:v>
                </c:pt>
                <c:pt idx="654">
                  <c:v>0.47252510763634348</c:v>
                </c:pt>
                <c:pt idx="655">
                  <c:v>0.47250726457263248</c:v>
                </c:pt>
                <c:pt idx="656">
                  <c:v>0.47248942178282327</c:v>
                </c:pt>
                <c:pt idx="657">
                  <c:v>0.47247157926690697</c:v>
                </c:pt>
                <c:pt idx="658">
                  <c:v>0.4724537370248818</c:v>
                </c:pt>
                <c:pt idx="659">
                  <c:v>0.47243589505674066</c:v>
                </c:pt>
                <c:pt idx="660">
                  <c:v>0.47241805336247822</c:v>
                </c:pt>
                <c:pt idx="661">
                  <c:v>0.47240021194210158</c:v>
                </c:pt>
                <c:pt idx="662">
                  <c:v>0.47238237079559831</c:v>
                </c:pt>
                <c:pt idx="663">
                  <c:v>0.47236452992297373</c:v>
                </c:pt>
                <c:pt idx="664">
                  <c:v>0.47234668932421719</c:v>
                </c:pt>
                <c:pt idx="665">
                  <c:v>0.47232884899932337</c:v>
                </c:pt>
                <c:pt idx="666">
                  <c:v>0.47231100894830114</c:v>
                </c:pt>
                <c:pt idx="667">
                  <c:v>0.47229316917112918</c:v>
                </c:pt>
                <c:pt idx="668">
                  <c:v>0.47227532966782526</c:v>
                </c:pt>
                <c:pt idx="669">
                  <c:v>0.47225749043836807</c:v>
                </c:pt>
                <c:pt idx="670">
                  <c:v>0.47223965148276292</c:v>
                </c:pt>
                <c:pt idx="671">
                  <c:v>0.47222181280100628</c:v>
                </c:pt>
                <c:pt idx="672">
                  <c:v>0.47220397439309103</c:v>
                </c:pt>
                <c:pt idx="673">
                  <c:v>0.47218613625902073</c:v>
                </c:pt>
                <c:pt idx="674">
                  <c:v>0.47216829839879182</c:v>
                </c:pt>
                <c:pt idx="675">
                  <c:v>0.47215046081238654</c:v>
                </c:pt>
                <c:pt idx="676">
                  <c:v>0.47213262349982266</c:v>
                </c:pt>
                <c:pt idx="677">
                  <c:v>0.47211478646108596</c:v>
                </c:pt>
                <c:pt idx="678">
                  <c:v>0.47209694969617289</c:v>
                </c:pt>
                <c:pt idx="679">
                  <c:v>0.47207911320508167</c:v>
                </c:pt>
                <c:pt idx="680">
                  <c:v>0.4720612769878052</c:v>
                </c:pt>
                <c:pt idx="681">
                  <c:v>0.47204344104435236</c:v>
                </c:pt>
                <c:pt idx="682">
                  <c:v>0.47202560537470895</c:v>
                </c:pt>
                <c:pt idx="683">
                  <c:v>0.47200776997887317</c:v>
                </c:pt>
                <c:pt idx="684">
                  <c:v>0.47198993485684326</c:v>
                </c:pt>
                <c:pt idx="685">
                  <c:v>0.47197210000861389</c:v>
                </c:pt>
                <c:pt idx="686">
                  <c:v>0.47195426543418506</c:v>
                </c:pt>
                <c:pt idx="687">
                  <c:v>0.47193643113354966</c:v>
                </c:pt>
                <c:pt idx="688">
                  <c:v>0.4719185971067148</c:v>
                </c:pt>
                <c:pt idx="689">
                  <c:v>0.47190076335366626</c:v>
                </c:pt>
                <c:pt idx="690">
                  <c:v>0.47188292987440583</c:v>
                </c:pt>
                <c:pt idx="691">
                  <c:v>0.47186509666892107</c:v>
                </c:pt>
                <c:pt idx="692">
                  <c:v>0.47184726373722619</c:v>
                </c:pt>
                <c:pt idx="693">
                  <c:v>0.47182943107929987</c:v>
                </c:pt>
                <c:pt idx="694">
                  <c:v>0.47181159869515454</c:v>
                </c:pt>
                <c:pt idx="695">
                  <c:v>0.47179376658477779</c:v>
                </c:pt>
                <c:pt idx="696">
                  <c:v>0.47177593474816604</c:v>
                </c:pt>
                <c:pt idx="697">
                  <c:v>0.47175810318531575</c:v>
                </c:pt>
                <c:pt idx="698">
                  <c:v>0.47174027189623047</c:v>
                </c:pt>
                <c:pt idx="699">
                  <c:v>0.47172244088089954</c:v>
                </c:pt>
                <c:pt idx="700">
                  <c:v>0.47170461013932474</c:v>
                </c:pt>
                <c:pt idx="701">
                  <c:v>0.47168677967150074</c:v>
                </c:pt>
                <c:pt idx="702">
                  <c:v>0.47166894947742222</c:v>
                </c:pt>
                <c:pt idx="703">
                  <c:v>0.47165111955709271</c:v>
                </c:pt>
                <c:pt idx="704">
                  <c:v>0.47163328991050513</c:v>
                </c:pt>
                <c:pt idx="705">
                  <c:v>0.47161546053765591</c:v>
                </c:pt>
                <c:pt idx="706">
                  <c:v>0.47159763143853262</c:v>
                </c:pt>
                <c:pt idx="707">
                  <c:v>0.47157980261314592</c:v>
                </c:pt>
                <c:pt idx="708">
                  <c:v>0.4715619740614958</c:v>
                </c:pt>
                <c:pt idx="709">
                  <c:v>0.47154414578356807</c:v>
                </c:pt>
                <c:pt idx="710">
                  <c:v>0.47152631777935383</c:v>
                </c:pt>
                <c:pt idx="711">
                  <c:v>0.47150849004886197</c:v>
                </c:pt>
                <c:pt idx="712">
                  <c:v>0.47149066259208894</c:v>
                </c:pt>
                <c:pt idx="713">
                  <c:v>0.4714728354090294</c:v>
                </c:pt>
                <c:pt idx="714">
                  <c:v>0.4714550084996727</c:v>
                </c:pt>
                <c:pt idx="715">
                  <c:v>0.47143718186402772</c:v>
                </c:pt>
                <c:pt idx="716">
                  <c:v>0.4714193555020838</c:v>
                </c:pt>
                <c:pt idx="717">
                  <c:v>0.47140152941384095</c:v>
                </c:pt>
                <c:pt idx="718">
                  <c:v>0.47138370359929027</c:v>
                </c:pt>
                <c:pt idx="719">
                  <c:v>0.4713658780584371</c:v>
                </c:pt>
                <c:pt idx="720">
                  <c:v>0.47134805279126901</c:v>
                </c:pt>
                <c:pt idx="721">
                  <c:v>0.4713302277977931</c:v>
                </c:pt>
                <c:pt idx="722">
                  <c:v>0.47131240307799516</c:v>
                </c:pt>
                <c:pt idx="723">
                  <c:v>0.47129457863188229</c:v>
                </c:pt>
                <c:pt idx="724">
                  <c:v>0.47127675445944384</c:v>
                </c:pt>
                <c:pt idx="725">
                  <c:v>0.4712589305606727</c:v>
                </c:pt>
                <c:pt idx="726">
                  <c:v>0.47124110693557952</c:v>
                </c:pt>
                <c:pt idx="727">
                  <c:v>0.47122328358415189</c:v>
                </c:pt>
                <c:pt idx="728">
                  <c:v>0.47120546050639511</c:v>
                </c:pt>
                <c:pt idx="729">
                  <c:v>0.47118763770228966</c:v>
                </c:pt>
                <c:pt idx="730">
                  <c:v>0.47116981517184975</c:v>
                </c:pt>
                <c:pt idx="731">
                  <c:v>0.47115199291505583</c:v>
                </c:pt>
                <c:pt idx="732">
                  <c:v>0.47113417093191678</c:v>
                </c:pt>
                <c:pt idx="733">
                  <c:v>0.47111634922243262</c:v>
                </c:pt>
                <c:pt idx="734">
                  <c:v>0.47109852778658379</c:v>
                </c:pt>
                <c:pt idx="735">
                  <c:v>0.4710807066243845</c:v>
                </c:pt>
                <c:pt idx="736">
                  <c:v>0.47106288573581345</c:v>
                </c:pt>
                <c:pt idx="737">
                  <c:v>0.47104506512088662</c:v>
                </c:pt>
                <c:pt idx="738">
                  <c:v>0.47102724477958802</c:v>
                </c:pt>
                <c:pt idx="739">
                  <c:v>0.4710094247119212</c:v>
                </c:pt>
                <c:pt idx="740">
                  <c:v>0.47099160491787373</c:v>
                </c:pt>
                <c:pt idx="741">
                  <c:v>0.47097378539745449</c:v>
                </c:pt>
                <c:pt idx="742">
                  <c:v>0.47095596615065105</c:v>
                </c:pt>
                <c:pt idx="743">
                  <c:v>0.47093814717746163</c:v>
                </c:pt>
                <c:pt idx="744">
                  <c:v>0.47092032847788445</c:v>
                </c:pt>
                <c:pt idx="745">
                  <c:v>0.47090251005191952</c:v>
                </c:pt>
                <c:pt idx="746">
                  <c:v>0.47088469189956683</c:v>
                </c:pt>
                <c:pt idx="747">
                  <c:v>0.4708668740208104</c:v>
                </c:pt>
                <c:pt idx="748">
                  <c:v>0.47084905641565378</c:v>
                </c:pt>
                <c:pt idx="749">
                  <c:v>0.47083123908408986</c:v>
                </c:pt>
                <c:pt idx="750">
                  <c:v>0.47081342202612575</c:v>
                </c:pt>
                <c:pt idx="751">
                  <c:v>0.47079560524175079</c:v>
                </c:pt>
                <c:pt idx="752">
                  <c:v>0.47077778873096321</c:v>
                </c:pt>
                <c:pt idx="753">
                  <c:v>0.4707599724937559</c:v>
                </c:pt>
                <c:pt idx="754">
                  <c:v>0.47074215653012885</c:v>
                </c:pt>
                <c:pt idx="755">
                  <c:v>0.4707243408400803</c:v>
                </c:pt>
                <c:pt idx="756">
                  <c:v>0.47070652542360669</c:v>
                </c:pt>
                <c:pt idx="757">
                  <c:v>0.47068871028070269</c:v>
                </c:pt>
                <c:pt idx="758">
                  <c:v>0.47067089541136475</c:v>
                </c:pt>
                <c:pt idx="759">
                  <c:v>0.47065308081559465</c:v>
                </c:pt>
                <c:pt idx="760">
                  <c:v>0.47063526649338705</c:v>
                </c:pt>
                <c:pt idx="761">
                  <c:v>0.4706174524447313</c:v>
                </c:pt>
                <c:pt idx="762">
                  <c:v>0.4705996386696345</c:v>
                </c:pt>
                <c:pt idx="763">
                  <c:v>0.47058182516808955</c:v>
                </c:pt>
                <c:pt idx="764">
                  <c:v>0.47056401194008934</c:v>
                </c:pt>
                <c:pt idx="765">
                  <c:v>0.47054619898563388</c:v>
                </c:pt>
                <c:pt idx="766">
                  <c:v>0.47052838630472493</c:v>
                </c:pt>
                <c:pt idx="767">
                  <c:v>0.47051057389735362</c:v>
                </c:pt>
                <c:pt idx="768">
                  <c:v>0.47049276176351462</c:v>
                </c:pt>
                <c:pt idx="769">
                  <c:v>0.47047494990321148</c:v>
                </c:pt>
                <c:pt idx="770">
                  <c:v>0.47045713831643532</c:v>
                </c:pt>
                <c:pt idx="771">
                  <c:v>0.47043932700318258</c:v>
                </c:pt>
                <c:pt idx="772">
                  <c:v>0.47042151596345505</c:v>
                </c:pt>
                <c:pt idx="773">
                  <c:v>0.47040370519724561</c:v>
                </c:pt>
                <c:pt idx="774">
                  <c:v>0.47038589470454895</c:v>
                </c:pt>
                <c:pt idx="775">
                  <c:v>0.47036808448537037</c:v>
                </c:pt>
                <c:pt idx="776">
                  <c:v>0.4703502745397028</c:v>
                </c:pt>
                <c:pt idx="777">
                  <c:v>0.47033246486753733</c:v>
                </c:pt>
                <c:pt idx="778">
                  <c:v>0.47031465546887574</c:v>
                </c:pt>
                <c:pt idx="779">
                  <c:v>0.47029684634371449</c:v>
                </c:pt>
                <c:pt idx="780">
                  <c:v>0.47027903749205002</c:v>
                </c:pt>
                <c:pt idx="781">
                  <c:v>0.47026122891387345</c:v>
                </c:pt>
                <c:pt idx="782">
                  <c:v>0.47024342060919544</c:v>
                </c:pt>
                <c:pt idx="783">
                  <c:v>0.47022561257800355</c:v>
                </c:pt>
                <c:pt idx="784">
                  <c:v>0.47020780482029068</c:v>
                </c:pt>
                <c:pt idx="785">
                  <c:v>0.47018999733606215</c:v>
                </c:pt>
                <c:pt idx="786">
                  <c:v>0.47017219012531264</c:v>
                </c:pt>
                <c:pt idx="787">
                  <c:v>0.47015438318803504</c:v>
                </c:pt>
                <c:pt idx="788">
                  <c:v>0.4701365765242258</c:v>
                </c:pt>
                <c:pt idx="789">
                  <c:v>0.47011877013388492</c:v>
                </c:pt>
                <c:pt idx="790">
                  <c:v>0.47010096401701063</c:v>
                </c:pt>
                <c:pt idx="791">
                  <c:v>0.47008315817359581</c:v>
                </c:pt>
                <c:pt idx="792">
                  <c:v>0.47006535260364402</c:v>
                </c:pt>
                <c:pt idx="793">
                  <c:v>0.47004754730713927</c:v>
                </c:pt>
                <c:pt idx="794">
                  <c:v>0.47002974228408867</c:v>
                </c:pt>
                <c:pt idx="795">
                  <c:v>0.47001193753449044</c:v>
                </c:pt>
                <c:pt idx="796">
                  <c:v>0.46999413305833393</c:v>
                </c:pt>
                <c:pt idx="797">
                  <c:v>0.46997632885562268</c:v>
                </c:pt>
                <c:pt idx="798">
                  <c:v>0.46995852492635137</c:v>
                </c:pt>
                <c:pt idx="799">
                  <c:v>0.46994072127050579</c:v>
                </c:pt>
                <c:pt idx="800">
                  <c:v>0.46992291788809659</c:v>
                </c:pt>
                <c:pt idx="801">
                  <c:v>0.46990511477912555</c:v>
                </c:pt>
                <c:pt idx="802">
                  <c:v>0.46988731194356959</c:v>
                </c:pt>
                <c:pt idx="803">
                  <c:v>0.46986950938143934</c:v>
                </c:pt>
                <c:pt idx="804">
                  <c:v>0.46985170709273127</c:v>
                </c:pt>
                <c:pt idx="805">
                  <c:v>0.46983390507743827</c:v>
                </c:pt>
                <c:pt idx="806">
                  <c:v>0.46981610333556034</c:v>
                </c:pt>
                <c:pt idx="807">
                  <c:v>0.46979830186708682</c:v>
                </c:pt>
                <c:pt idx="808">
                  <c:v>0.46978050067202304</c:v>
                </c:pt>
                <c:pt idx="809">
                  <c:v>0.46976269975036189</c:v>
                </c:pt>
                <c:pt idx="810">
                  <c:v>0.46974489910210337</c:v>
                </c:pt>
                <c:pt idx="811">
                  <c:v>0.46972709872723684</c:v>
                </c:pt>
                <c:pt idx="812">
                  <c:v>0.46970929862577115</c:v>
                </c:pt>
                <c:pt idx="813">
                  <c:v>0.46969149879769212</c:v>
                </c:pt>
                <c:pt idx="814">
                  <c:v>0.4696736992429944</c:v>
                </c:pt>
                <c:pt idx="815">
                  <c:v>0.46965589996168866</c:v>
                </c:pt>
                <c:pt idx="816">
                  <c:v>0.46963810095375713</c:v>
                </c:pt>
                <c:pt idx="817">
                  <c:v>0.46962030221921225</c:v>
                </c:pt>
                <c:pt idx="818">
                  <c:v>0.46960250375803625</c:v>
                </c:pt>
                <c:pt idx="819">
                  <c:v>0.46958470557023446</c:v>
                </c:pt>
                <c:pt idx="820">
                  <c:v>0.46956690765579445</c:v>
                </c:pt>
                <c:pt idx="821">
                  <c:v>0.4695491100147251</c:v>
                </c:pt>
                <c:pt idx="822">
                  <c:v>0.46953131264701753</c:v>
                </c:pt>
                <c:pt idx="823">
                  <c:v>0.46951351555266285</c:v>
                </c:pt>
                <c:pt idx="824">
                  <c:v>0.4694957187316593</c:v>
                </c:pt>
                <c:pt idx="825">
                  <c:v>0.46947792218401574</c:v>
                </c:pt>
                <c:pt idx="826">
                  <c:v>0.46946012590971797</c:v>
                </c:pt>
                <c:pt idx="827">
                  <c:v>0.46944232990876777</c:v>
                </c:pt>
                <c:pt idx="828">
                  <c:v>0.46942453418116159</c:v>
                </c:pt>
                <c:pt idx="829">
                  <c:v>0.46940673872689409</c:v>
                </c:pt>
                <c:pt idx="830">
                  <c:v>0.4693889435459635</c:v>
                </c:pt>
                <c:pt idx="831">
                  <c:v>0.46937114863835738</c:v>
                </c:pt>
                <c:pt idx="832">
                  <c:v>0.46935335400408462</c:v>
                </c:pt>
                <c:pt idx="833">
                  <c:v>0.46933555964313634</c:v>
                </c:pt>
                <c:pt idx="834">
                  <c:v>0.46931776555551608</c:v>
                </c:pt>
                <c:pt idx="835">
                  <c:v>0.46929997174120608</c:v>
                </c:pt>
                <c:pt idx="836">
                  <c:v>0.46928217820022056</c:v>
                </c:pt>
                <c:pt idx="837">
                  <c:v>0.46926438493254707</c:v>
                </c:pt>
                <c:pt idx="838">
                  <c:v>0.4692465919381803</c:v>
                </c:pt>
                <c:pt idx="839">
                  <c:v>0.46922879921712557</c:v>
                </c:pt>
                <c:pt idx="840">
                  <c:v>0.46921100676937222</c:v>
                </c:pt>
                <c:pt idx="841">
                  <c:v>0.46919321459492025</c:v>
                </c:pt>
                <c:pt idx="842">
                  <c:v>0.46917542269376256</c:v>
                </c:pt>
                <c:pt idx="843">
                  <c:v>0.46915763106589914</c:v>
                </c:pt>
                <c:pt idx="844">
                  <c:v>0.46913983971132467</c:v>
                </c:pt>
                <c:pt idx="845">
                  <c:v>0.4691220486300427</c:v>
                </c:pt>
                <c:pt idx="846">
                  <c:v>0.46910425782204079</c:v>
                </c:pt>
                <c:pt idx="847">
                  <c:v>0.46908646728732428</c:v>
                </c:pt>
                <c:pt idx="848">
                  <c:v>0.46906867702587896</c:v>
                </c:pt>
                <c:pt idx="849">
                  <c:v>0.46905088703771369</c:v>
                </c:pt>
                <c:pt idx="850">
                  <c:v>0.46903309732281606</c:v>
                </c:pt>
                <c:pt idx="851">
                  <c:v>0.46901530788118961</c:v>
                </c:pt>
                <c:pt idx="852">
                  <c:v>0.46899751871282902</c:v>
                </c:pt>
                <c:pt idx="853">
                  <c:v>0.46897972981772718</c:v>
                </c:pt>
                <c:pt idx="854">
                  <c:v>0.46896194119588408</c:v>
                </c:pt>
                <c:pt idx="855">
                  <c:v>0.46894415284729973</c:v>
                </c:pt>
                <c:pt idx="856">
                  <c:v>0.46892636477196348</c:v>
                </c:pt>
                <c:pt idx="857">
                  <c:v>0.46890857696988242</c:v>
                </c:pt>
                <c:pt idx="858">
                  <c:v>0.46889078944103701</c:v>
                </c:pt>
                <c:pt idx="859">
                  <c:v>0.46887300218544148</c:v>
                </c:pt>
                <c:pt idx="860">
                  <c:v>0.4688552152030887</c:v>
                </c:pt>
                <c:pt idx="861">
                  <c:v>0.46883742849396093</c:v>
                </c:pt>
                <c:pt idx="862">
                  <c:v>0.46881964205806881</c:v>
                </c:pt>
                <c:pt idx="863">
                  <c:v>0.46880185589541057</c:v>
                </c:pt>
                <c:pt idx="864">
                  <c:v>0.46878407000597555</c:v>
                </c:pt>
                <c:pt idx="865">
                  <c:v>0.46876628438976553</c:v>
                </c:pt>
                <c:pt idx="866">
                  <c:v>0.46874849904677696</c:v>
                </c:pt>
                <c:pt idx="867">
                  <c:v>0.46873071397700272</c:v>
                </c:pt>
                <c:pt idx="868">
                  <c:v>0.46871292918044105</c:v>
                </c:pt>
                <c:pt idx="869">
                  <c:v>0.46869514465709017</c:v>
                </c:pt>
                <c:pt idx="870">
                  <c:v>0.46867736040694297</c:v>
                </c:pt>
                <c:pt idx="871">
                  <c:v>0.46865957643000478</c:v>
                </c:pt>
                <c:pt idx="872">
                  <c:v>0.46864179272626849</c:v>
                </c:pt>
                <c:pt idx="873">
                  <c:v>0.46862400929572523</c:v>
                </c:pt>
                <c:pt idx="874">
                  <c:v>0.46860622613837677</c:v>
                </c:pt>
                <c:pt idx="875">
                  <c:v>0.46858844325422133</c:v>
                </c:pt>
                <c:pt idx="876">
                  <c:v>0.46857066064325359</c:v>
                </c:pt>
                <c:pt idx="877">
                  <c:v>0.46855287830546999</c:v>
                </c:pt>
                <c:pt idx="878">
                  <c:v>0.4685350962408652</c:v>
                </c:pt>
                <c:pt idx="879">
                  <c:v>0.468517314449441</c:v>
                </c:pt>
                <c:pt idx="880">
                  <c:v>0.46849953293118851</c:v>
                </c:pt>
                <c:pt idx="881">
                  <c:v>0.46848175168611128</c:v>
                </c:pt>
                <c:pt idx="882">
                  <c:v>0.46846397071420043</c:v>
                </c:pt>
                <c:pt idx="883">
                  <c:v>0.46844619001546128</c:v>
                </c:pt>
                <c:pt idx="884">
                  <c:v>0.46842840958987075</c:v>
                </c:pt>
                <c:pt idx="885">
                  <c:v>0.46841062943745193</c:v>
                </c:pt>
                <c:pt idx="886">
                  <c:v>0.46839284955818528</c:v>
                </c:pt>
                <c:pt idx="887">
                  <c:v>0.46837506995206546</c:v>
                </c:pt>
                <c:pt idx="888">
                  <c:v>0.46835729061909603</c:v>
                </c:pt>
                <c:pt idx="889">
                  <c:v>0.46833951155927345</c:v>
                </c:pt>
                <c:pt idx="890">
                  <c:v>0.4683217327725977</c:v>
                </c:pt>
                <c:pt idx="891">
                  <c:v>0.46830395425905813</c:v>
                </c:pt>
                <c:pt idx="892">
                  <c:v>0.4682861760186583</c:v>
                </c:pt>
                <c:pt idx="893">
                  <c:v>0.46826839805138576</c:v>
                </c:pt>
                <c:pt idx="894">
                  <c:v>0.46825062035723874</c:v>
                </c:pt>
                <c:pt idx="895">
                  <c:v>0.46823284293622613</c:v>
                </c:pt>
                <c:pt idx="896">
                  <c:v>0.46821506578833727</c:v>
                </c:pt>
                <c:pt idx="897">
                  <c:v>0.4681972889135686</c:v>
                </c:pt>
                <c:pt idx="898">
                  <c:v>0.46817951231190946</c:v>
                </c:pt>
                <c:pt idx="899">
                  <c:v>0.4681617359833723</c:v>
                </c:pt>
                <c:pt idx="900">
                  <c:v>0.46814395992794466</c:v>
                </c:pt>
                <c:pt idx="901">
                  <c:v>0.46812618414562479</c:v>
                </c:pt>
                <c:pt idx="902">
                  <c:v>0.46810840863640379</c:v>
                </c:pt>
                <c:pt idx="903">
                  <c:v>0.468090633400287</c:v>
                </c:pt>
                <c:pt idx="904">
                  <c:v>0.46807285843726554</c:v>
                </c:pt>
                <c:pt idx="905">
                  <c:v>0.4680550837473394</c:v>
                </c:pt>
                <c:pt idx="906">
                  <c:v>0.46803730933050858</c:v>
                </c:pt>
                <c:pt idx="907">
                  <c:v>0.46801953518676065</c:v>
                </c:pt>
                <c:pt idx="908">
                  <c:v>0.46800176131609739</c:v>
                </c:pt>
                <c:pt idx="909">
                  <c:v>0.46798398771851701</c:v>
                </c:pt>
                <c:pt idx="910">
                  <c:v>0.46796621439401598</c:v>
                </c:pt>
                <c:pt idx="911">
                  <c:v>0.46794844134258895</c:v>
                </c:pt>
                <c:pt idx="912">
                  <c:v>0.46793066856423593</c:v>
                </c:pt>
                <c:pt idx="913">
                  <c:v>0.46791289605895336</c:v>
                </c:pt>
                <c:pt idx="914">
                  <c:v>0.4678951238267306</c:v>
                </c:pt>
                <c:pt idx="915">
                  <c:v>0.46787735186757295</c:v>
                </c:pt>
                <c:pt idx="916">
                  <c:v>0.46785958018147333</c:v>
                </c:pt>
                <c:pt idx="917">
                  <c:v>0.46784180876842818</c:v>
                </c:pt>
                <c:pt idx="918">
                  <c:v>0.46782403762843572</c:v>
                </c:pt>
                <c:pt idx="919">
                  <c:v>0.46780626676149595</c:v>
                </c:pt>
                <c:pt idx="920">
                  <c:v>0.46778849616759643</c:v>
                </c:pt>
                <c:pt idx="921">
                  <c:v>0.46777072584674606</c:v>
                </c:pt>
                <c:pt idx="922">
                  <c:v>0.46775295579893239</c:v>
                </c:pt>
                <c:pt idx="923">
                  <c:v>0.46773518602415898</c:v>
                </c:pt>
                <c:pt idx="924">
                  <c:v>0.46771741652241339</c:v>
                </c:pt>
                <c:pt idx="925">
                  <c:v>0.4676996472936974</c:v>
                </c:pt>
                <c:pt idx="926">
                  <c:v>0.46768187833801811</c:v>
                </c:pt>
                <c:pt idx="927">
                  <c:v>0.46766410965535066</c:v>
                </c:pt>
                <c:pt idx="928">
                  <c:v>0.46764634124570925</c:v>
                </c:pt>
                <c:pt idx="929">
                  <c:v>0.46762857310908146</c:v>
                </c:pt>
                <c:pt idx="930">
                  <c:v>0.46761080524547083</c:v>
                </c:pt>
                <c:pt idx="931">
                  <c:v>0.46759303765487381</c:v>
                </c:pt>
                <c:pt idx="932">
                  <c:v>0.46757527033727975</c:v>
                </c:pt>
                <c:pt idx="933">
                  <c:v>0.46755750329268864</c:v>
                </c:pt>
                <c:pt idx="934">
                  <c:v>0.46753973652110403</c:v>
                </c:pt>
                <c:pt idx="935">
                  <c:v>0.4675219700225135</c:v>
                </c:pt>
                <c:pt idx="936">
                  <c:v>0.46750420379691882</c:v>
                </c:pt>
                <c:pt idx="937">
                  <c:v>0.46748643784431287</c:v>
                </c:pt>
                <c:pt idx="938">
                  <c:v>0.467468672164701</c:v>
                </c:pt>
                <c:pt idx="939">
                  <c:v>0.467450906758069</c:v>
                </c:pt>
                <c:pt idx="940">
                  <c:v>0.46743314162441507</c:v>
                </c:pt>
                <c:pt idx="941">
                  <c:v>0.46741537676374456</c:v>
                </c:pt>
                <c:pt idx="942">
                  <c:v>0.46739761217605214</c:v>
                </c:pt>
                <c:pt idx="943">
                  <c:v>0.46737984786132714</c:v>
                </c:pt>
                <c:pt idx="944">
                  <c:v>0.46736208381957489</c:v>
                </c:pt>
                <c:pt idx="945">
                  <c:v>0.46734432005078652</c:v>
                </c:pt>
                <c:pt idx="946">
                  <c:v>0.4673265565549638</c:v>
                </c:pt>
                <c:pt idx="947">
                  <c:v>0.46730879333209252</c:v>
                </c:pt>
                <c:pt idx="948">
                  <c:v>0.46729103038218511</c:v>
                </c:pt>
                <c:pt idx="949">
                  <c:v>0.46727326770522915</c:v>
                </c:pt>
                <c:pt idx="950">
                  <c:v>0.46725550530121396</c:v>
                </c:pt>
                <c:pt idx="951">
                  <c:v>0.46723774317015554</c:v>
                </c:pt>
                <c:pt idx="952">
                  <c:v>0.46721998131203435</c:v>
                </c:pt>
                <c:pt idx="953">
                  <c:v>0.46720221972686105</c:v>
                </c:pt>
                <c:pt idx="954">
                  <c:v>0.46718445841461431</c:v>
                </c:pt>
                <c:pt idx="955">
                  <c:v>0.46716669737530836</c:v>
                </c:pt>
                <c:pt idx="956">
                  <c:v>0.46714893660892898</c:v>
                </c:pt>
                <c:pt idx="957">
                  <c:v>0.46713117611547972</c:v>
                </c:pt>
                <c:pt idx="958">
                  <c:v>0.46711341589494815</c:v>
                </c:pt>
                <c:pt idx="959">
                  <c:v>0.4670956559473467</c:v>
                </c:pt>
                <c:pt idx="960">
                  <c:v>0.46707789627265761</c:v>
                </c:pt>
                <c:pt idx="961">
                  <c:v>0.46706013687088088</c:v>
                </c:pt>
                <c:pt idx="962">
                  <c:v>0.46704237774201829</c:v>
                </c:pt>
                <c:pt idx="963">
                  <c:v>0.46702461888605917</c:v>
                </c:pt>
                <c:pt idx="964">
                  <c:v>0.46700686030301064</c:v>
                </c:pt>
                <c:pt idx="965">
                  <c:v>0.46698910199286203</c:v>
                </c:pt>
                <c:pt idx="966">
                  <c:v>0.46697134395561157</c:v>
                </c:pt>
                <c:pt idx="967">
                  <c:v>0.46695358619125216</c:v>
                </c:pt>
                <c:pt idx="968">
                  <c:v>0.46693582869978556</c:v>
                </c:pt>
                <c:pt idx="969">
                  <c:v>0.46691807148120645</c:v>
                </c:pt>
                <c:pt idx="970">
                  <c:v>0.46690031453551484</c:v>
                </c:pt>
                <c:pt idx="971">
                  <c:v>0.46688255786270361</c:v>
                </c:pt>
                <c:pt idx="972">
                  <c:v>0.46686480146277454</c:v>
                </c:pt>
                <c:pt idx="973">
                  <c:v>0.46684704533571875</c:v>
                </c:pt>
                <c:pt idx="974">
                  <c:v>0.46682928948153624</c:v>
                </c:pt>
                <c:pt idx="975">
                  <c:v>0.46681153390022345</c:v>
                </c:pt>
                <c:pt idx="976">
                  <c:v>0.46679377859177151</c:v>
                </c:pt>
                <c:pt idx="977">
                  <c:v>0.4667760235561893</c:v>
                </c:pt>
                <c:pt idx="978">
                  <c:v>0.46675826879346793</c:v>
                </c:pt>
                <c:pt idx="979">
                  <c:v>0.46674051430359675</c:v>
                </c:pt>
                <c:pt idx="980">
                  <c:v>0.46672276008658287</c:v>
                </c:pt>
                <c:pt idx="981">
                  <c:v>0.46670500614241561</c:v>
                </c:pt>
                <c:pt idx="982">
                  <c:v>0.46668725247109499</c:v>
                </c:pt>
                <c:pt idx="983">
                  <c:v>0.46666949907262101</c:v>
                </c:pt>
                <c:pt idx="984">
                  <c:v>0.466651745946983</c:v>
                </c:pt>
                <c:pt idx="985">
                  <c:v>0.46663399309418452</c:v>
                </c:pt>
                <c:pt idx="986">
                  <c:v>0.46661624051422379</c:v>
                </c:pt>
                <c:pt idx="987">
                  <c:v>0.4665984882070866</c:v>
                </c:pt>
                <c:pt idx="988">
                  <c:v>0.46658073617277829</c:v>
                </c:pt>
                <c:pt idx="989">
                  <c:v>0.46656298441129174</c:v>
                </c:pt>
                <c:pt idx="990">
                  <c:v>0.4665452329226305</c:v>
                </c:pt>
                <c:pt idx="991">
                  <c:v>0.46652748170678393</c:v>
                </c:pt>
                <c:pt idx="992">
                  <c:v>0.46650973076375557</c:v>
                </c:pt>
                <c:pt idx="993">
                  <c:v>0.46649198009354365</c:v>
                </c:pt>
                <c:pt idx="994">
                  <c:v>0.46647422969612862</c:v>
                </c:pt>
                <c:pt idx="995">
                  <c:v>0.46645647957152292</c:v>
                </c:pt>
                <c:pt idx="996">
                  <c:v>0.46643872971972122</c:v>
                </c:pt>
                <c:pt idx="997">
                  <c:v>0.46642098014071109</c:v>
                </c:pt>
                <c:pt idx="998">
                  <c:v>0.46640323083450674</c:v>
                </c:pt>
                <c:pt idx="999">
                  <c:v>0.4663854818010833</c:v>
                </c:pt>
                <c:pt idx="1000">
                  <c:v>0.46636773304045853</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35.100000000000186</c:v>
                </c:pt>
                <c:pt idx="500">
                  <c:v>35.200000000000188</c:v>
                </c:pt>
                <c:pt idx="501">
                  <c:v>35.300000000000189</c:v>
                </c:pt>
                <c:pt idx="502">
                  <c:v>35.40000000000019</c:v>
                </c:pt>
                <c:pt idx="503">
                  <c:v>35.500000000000192</c:v>
                </c:pt>
                <c:pt idx="504">
                  <c:v>35.600000000000193</c:v>
                </c:pt>
                <c:pt idx="505">
                  <c:v>35.700000000000195</c:v>
                </c:pt>
                <c:pt idx="506">
                  <c:v>35.800000000000196</c:v>
                </c:pt>
                <c:pt idx="507">
                  <c:v>35.900000000000198</c:v>
                </c:pt>
                <c:pt idx="508">
                  <c:v>36.000000000000199</c:v>
                </c:pt>
                <c:pt idx="509">
                  <c:v>36.1000000000002</c:v>
                </c:pt>
                <c:pt idx="510">
                  <c:v>36.200000000000202</c:v>
                </c:pt>
                <c:pt idx="511">
                  <c:v>36.300000000000203</c:v>
                </c:pt>
                <c:pt idx="512">
                  <c:v>36.400000000000205</c:v>
                </c:pt>
                <c:pt idx="513">
                  <c:v>36.500000000000206</c:v>
                </c:pt>
                <c:pt idx="514">
                  <c:v>36.600000000000207</c:v>
                </c:pt>
                <c:pt idx="515">
                  <c:v>36.700000000000209</c:v>
                </c:pt>
                <c:pt idx="516">
                  <c:v>36.80000000000021</c:v>
                </c:pt>
                <c:pt idx="517">
                  <c:v>36.800100000000214</c:v>
                </c:pt>
                <c:pt idx="518">
                  <c:v>36.800200000000217</c:v>
                </c:pt>
                <c:pt idx="519">
                  <c:v>36.80030000000022</c:v>
                </c:pt>
                <c:pt idx="520">
                  <c:v>36.800400000000224</c:v>
                </c:pt>
                <c:pt idx="521">
                  <c:v>36.800500000000227</c:v>
                </c:pt>
                <c:pt idx="522">
                  <c:v>36.80060000000023</c:v>
                </c:pt>
                <c:pt idx="523">
                  <c:v>36.800700000000234</c:v>
                </c:pt>
                <c:pt idx="524">
                  <c:v>36.800800000000237</c:v>
                </c:pt>
                <c:pt idx="525">
                  <c:v>36.80090000000024</c:v>
                </c:pt>
                <c:pt idx="526">
                  <c:v>36.801000000000244</c:v>
                </c:pt>
                <c:pt idx="527">
                  <c:v>36.801100000000247</c:v>
                </c:pt>
                <c:pt idx="528">
                  <c:v>36.80120000000025</c:v>
                </c:pt>
                <c:pt idx="529">
                  <c:v>36.801300000000253</c:v>
                </c:pt>
                <c:pt idx="530">
                  <c:v>36.801400000000257</c:v>
                </c:pt>
                <c:pt idx="531">
                  <c:v>36.80150000000026</c:v>
                </c:pt>
                <c:pt idx="532">
                  <c:v>36.801600000000263</c:v>
                </c:pt>
                <c:pt idx="533">
                  <c:v>36.801700000000267</c:v>
                </c:pt>
                <c:pt idx="534">
                  <c:v>36.80180000000027</c:v>
                </c:pt>
                <c:pt idx="535">
                  <c:v>36.801900000000273</c:v>
                </c:pt>
                <c:pt idx="536">
                  <c:v>36.802000000000277</c:v>
                </c:pt>
                <c:pt idx="537">
                  <c:v>36.80210000000028</c:v>
                </c:pt>
                <c:pt idx="538">
                  <c:v>36.802200000000283</c:v>
                </c:pt>
                <c:pt idx="539">
                  <c:v>36.802300000000287</c:v>
                </c:pt>
                <c:pt idx="540">
                  <c:v>36.80240000000029</c:v>
                </c:pt>
                <c:pt idx="541">
                  <c:v>36.802500000000293</c:v>
                </c:pt>
                <c:pt idx="542">
                  <c:v>36.802600000000297</c:v>
                </c:pt>
                <c:pt idx="543">
                  <c:v>36.8027000000003</c:v>
                </c:pt>
                <c:pt idx="544">
                  <c:v>36.802800000000303</c:v>
                </c:pt>
                <c:pt idx="545">
                  <c:v>36.802900000000307</c:v>
                </c:pt>
                <c:pt idx="546">
                  <c:v>36.80300000000031</c:v>
                </c:pt>
                <c:pt idx="547">
                  <c:v>36.803100000000313</c:v>
                </c:pt>
                <c:pt idx="548">
                  <c:v>36.803200000000317</c:v>
                </c:pt>
                <c:pt idx="549">
                  <c:v>36.80330000000032</c:v>
                </c:pt>
                <c:pt idx="550">
                  <c:v>36.803400000000323</c:v>
                </c:pt>
                <c:pt idx="551">
                  <c:v>36.803500000000327</c:v>
                </c:pt>
                <c:pt idx="552">
                  <c:v>36.80360000000033</c:v>
                </c:pt>
                <c:pt idx="553">
                  <c:v>36.803700000000333</c:v>
                </c:pt>
                <c:pt idx="554">
                  <c:v>36.803800000000336</c:v>
                </c:pt>
                <c:pt idx="555">
                  <c:v>36.80390000000034</c:v>
                </c:pt>
                <c:pt idx="556">
                  <c:v>36.804000000000343</c:v>
                </c:pt>
                <c:pt idx="557">
                  <c:v>36.804100000000346</c:v>
                </c:pt>
                <c:pt idx="558">
                  <c:v>36.80420000000035</c:v>
                </c:pt>
                <c:pt idx="559">
                  <c:v>36.804300000000353</c:v>
                </c:pt>
                <c:pt idx="560">
                  <c:v>36.804400000000356</c:v>
                </c:pt>
                <c:pt idx="561">
                  <c:v>36.80450000000036</c:v>
                </c:pt>
                <c:pt idx="562">
                  <c:v>36.804600000000363</c:v>
                </c:pt>
                <c:pt idx="563">
                  <c:v>36.804700000000366</c:v>
                </c:pt>
                <c:pt idx="564">
                  <c:v>36.80480000000037</c:v>
                </c:pt>
                <c:pt idx="565">
                  <c:v>36.804900000000373</c:v>
                </c:pt>
                <c:pt idx="566">
                  <c:v>36.805000000000376</c:v>
                </c:pt>
                <c:pt idx="567">
                  <c:v>36.80510000000038</c:v>
                </c:pt>
                <c:pt idx="568">
                  <c:v>36.805200000000383</c:v>
                </c:pt>
                <c:pt idx="569">
                  <c:v>36.805300000000386</c:v>
                </c:pt>
                <c:pt idx="570">
                  <c:v>36.80540000000039</c:v>
                </c:pt>
                <c:pt idx="571">
                  <c:v>36.805500000000393</c:v>
                </c:pt>
                <c:pt idx="572">
                  <c:v>36.805600000000396</c:v>
                </c:pt>
                <c:pt idx="573">
                  <c:v>36.8057000000004</c:v>
                </c:pt>
                <c:pt idx="574">
                  <c:v>36.805800000000403</c:v>
                </c:pt>
                <c:pt idx="575">
                  <c:v>36.805900000000406</c:v>
                </c:pt>
                <c:pt idx="576">
                  <c:v>36.806000000000409</c:v>
                </c:pt>
                <c:pt idx="577">
                  <c:v>36.806100000000413</c:v>
                </c:pt>
                <c:pt idx="578">
                  <c:v>36.806200000000416</c:v>
                </c:pt>
                <c:pt idx="579">
                  <c:v>36.806300000000419</c:v>
                </c:pt>
                <c:pt idx="580">
                  <c:v>36.806400000000423</c:v>
                </c:pt>
                <c:pt idx="581">
                  <c:v>36.806500000000426</c:v>
                </c:pt>
                <c:pt idx="582">
                  <c:v>36.806600000000429</c:v>
                </c:pt>
                <c:pt idx="583">
                  <c:v>36.806700000000433</c:v>
                </c:pt>
                <c:pt idx="584">
                  <c:v>36.806800000000436</c:v>
                </c:pt>
                <c:pt idx="585">
                  <c:v>36.806900000000439</c:v>
                </c:pt>
                <c:pt idx="586">
                  <c:v>36.807000000000443</c:v>
                </c:pt>
                <c:pt idx="587">
                  <c:v>36.807100000000446</c:v>
                </c:pt>
                <c:pt idx="588">
                  <c:v>36.807200000000449</c:v>
                </c:pt>
                <c:pt idx="589">
                  <c:v>36.807300000000453</c:v>
                </c:pt>
                <c:pt idx="590">
                  <c:v>36.807400000000456</c:v>
                </c:pt>
                <c:pt idx="591">
                  <c:v>36.807500000000459</c:v>
                </c:pt>
                <c:pt idx="592">
                  <c:v>36.807600000000463</c:v>
                </c:pt>
                <c:pt idx="593">
                  <c:v>36.807700000000466</c:v>
                </c:pt>
                <c:pt idx="594">
                  <c:v>36.807800000000469</c:v>
                </c:pt>
                <c:pt idx="595">
                  <c:v>36.807900000000473</c:v>
                </c:pt>
                <c:pt idx="596">
                  <c:v>36.808000000000476</c:v>
                </c:pt>
                <c:pt idx="597">
                  <c:v>36.808100000000479</c:v>
                </c:pt>
                <c:pt idx="598">
                  <c:v>36.808200000000483</c:v>
                </c:pt>
                <c:pt idx="599">
                  <c:v>36.808300000000486</c:v>
                </c:pt>
                <c:pt idx="600">
                  <c:v>36.808400000000489</c:v>
                </c:pt>
                <c:pt idx="601">
                  <c:v>36.808500000000492</c:v>
                </c:pt>
                <c:pt idx="602">
                  <c:v>36.808600000000496</c:v>
                </c:pt>
                <c:pt idx="603">
                  <c:v>36.808700000000499</c:v>
                </c:pt>
                <c:pt idx="604">
                  <c:v>36.808800000000502</c:v>
                </c:pt>
                <c:pt idx="605">
                  <c:v>36.808900000000506</c:v>
                </c:pt>
                <c:pt idx="606">
                  <c:v>36.809000000000509</c:v>
                </c:pt>
                <c:pt idx="607">
                  <c:v>36.809100000000512</c:v>
                </c:pt>
                <c:pt idx="608">
                  <c:v>36.809200000000516</c:v>
                </c:pt>
                <c:pt idx="609">
                  <c:v>36.809300000000519</c:v>
                </c:pt>
                <c:pt idx="610">
                  <c:v>36.809400000000522</c:v>
                </c:pt>
                <c:pt idx="611">
                  <c:v>36.809500000000526</c:v>
                </c:pt>
                <c:pt idx="612">
                  <c:v>36.809600000000529</c:v>
                </c:pt>
                <c:pt idx="613">
                  <c:v>36.809700000000532</c:v>
                </c:pt>
                <c:pt idx="614">
                  <c:v>36.809800000000536</c:v>
                </c:pt>
                <c:pt idx="615">
                  <c:v>36.809900000000539</c:v>
                </c:pt>
                <c:pt idx="616">
                  <c:v>36.810000000000542</c:v>
                </c:pt>
                <c:pt idx="617">
                  <c:v>36.810100000000546</c:v>
                </c:pt>
                <c:pt idx="618">
                  <c:v>36.810200000000549</c:v>
                </c:pt>
                <c:pt idx="619">
                  <c:v>36.810300000000552</c:v>
                </c:pt>
                <c:pt idx="620">
                  <c:v>36.810400000000556</c:v>
                </c:pt>
                <c:pt idx="621">
                  <c:v>36.810500000000559</c:v>
                </c:pt>
                <c:pt idx="622">
                  <c:v>36.810600000000562</c:v>
                </c:pt>
                <c:pt idx="623">
                  <c:v>36.810700000000566</c:v>
                </c:pt>
                <c:pt idx="624">
                  <c:v>36.810800000000569</c:v>
                </c:pt>
                <c:pt idx="625">
                  <c:v>36.810900000000572</c:v>
                </c:pt>
                <c:pt idx="626">
                  <c:v>36.811000000000575</c:v>
                </c:pt>
                <c:pt idx="627">
                  <c:v>36.811100000000579</c:v>
                </c:pt>
                <c:pt idx="628">
                  <c:v>36.811200000000582</c:v>
                </c:pt>
                <c:pt idx="629">
                  <c:v>36.811300000000585</c:v>
                </c:pt>
                <c:pt idx="630">
                  <c:v>36.811400000000589</c:v>
                </c:pt>
                <c:pt idx="631">
                  <c:v>36.811500000000592</c:v>
                </c:pt>
                <c:pt idx="632">
                  <c:v>36.811600000000595</c:v>
                </c:pt>
                <c:pt idx="633">
                  <c:v>36.811700000000599</c:v>
                </c:pt>
                <c:pt idx="634">
                  <c:v>36.811800000000602</c:v>
                </c:pt>
                <c:pt idx="635">
                  <c:v>36.811900000000605</c:v>
                </c:pt>
                <c:pt idx="636">
                  <c:v>36.812000000000609</c:v>
                </c:pt>
                <c:pt idx="637">
                  <c:v>36.812100000000612</c:v>
                </c:pt>
                <c:pt idx="638">
                  <c:v>36.812200000000615</c:v>
                </c:pt>
                <c:pt idx="639">
                  <c:v>36.812300000000619</c:v>
                </c:pt>
                <c:pt idx="640">
                  <c:v>36.812400000000622</c:v>
                </c:pt>
                <c:pt idx="641">
                  <c:v>36.812500000000625</c:v>
                </c:pt>
                <c:pt idx="642">
                  <c:v>36.812600000000629</c:v>
                </c:pt>
                <c:pt idx="643">
                  <c:v>36.812700000000632</c:v>
                </c:pt>
                <c:pt idx="644">
                  <c:v>36.812800000000635</c:v>
                </c:pt>
                <c:pt idx="645">
                  <c:v>36.812900000000639</c:v>
                </c:pt>
                <c:pt idx="646">
                  <c:v>36.813000000000642</c:v>
                </c:pt>
                <c:pt idx="647">
                  <c:v>36.813100000000645</c:v>
                </c:pt>
                <c:pt idx="648">
                  <c:v>36.813200000000649</c:v>
                </c:pt>
                <c:pt idx="649">
                  <c:v>36.813300000000652</c:v>
                </c:pt>
                <c:pt idx="650">
                  <c:v>36.813400000000655</c:v>
                </c:pt>
                <c:pt idx="651">
                  <c:v>36.813500000000658</c:v>
                </c:pt>
                <c:pt idx="652">
                  <c:v>36.813600000000662</c:v>
                </c:pt>
                <c:pt idx="653">
                  <c:v>36.813700000000665</c:v>
                </c:pt>
                <c:pt idx="654">
                  <c:v>36.813800000000668</c:v>
                </c:pt>
                <c:pt idx="655">
                  <c:v>36.813900000000672</c:v>
                </c:pt>
                <c:pt idx="656">
                  <c:v>36.814000000000675</c:v>
                </c:pt>
                <c:pt idx="657">
                  <c:v>36.814100000000678</c:v>
                </c:pt>
                <c:pt idx="658">
                  <c:v>36.814200000000682</c:v>
                </c:pt>
                <c:pt idx="659">
                  <c:v>36.814300000000685</c:v>
                </c:pt>
                <c:pt idx="660">
                  <c:v>36.814400000000688</c:v>
                </c:pt>
                <c:pt idx="661">
                  <c:v>36.814500000000692</c:v>
                </c:pt>
                <c:pt idx="662">
                  <c:v>36.814600000000695</c:v>
                </c:pt>
                <c:pt idx="663">
                  <c:v>36.814700000000698</c:v>
                </c:pt>
                <c:pt idx="664">
                  <c:v>36.814800000000702</c:v>
                </c:pt>
                <c:pt idx="665">
                  <c:v>36.814900000000705</c:v>
                </c:pt>
                <c:pt idx="666">
                  <c:v>36.815000000000708</c:v>
                </c:pt>
                <c:pt idx="667">
                  <c:v>36.815100000000712</c:v>
                </c:pt>
                <c:pt idx="668">
                  <c:v>36.815200000000715</c:v>
                </c:pt>
                <c:pt idx="669">
                  <c:v>36.815300000000718</c:v>
                </c:pt>
                <c:pt idx="670">
                  <c:v>36.815400000000722</c:v>
                </c:pt>
                <c:pt idx="671">
                  <c:v>36.815500000000725</c:v>
                </c:pt>
                <c:pt idx="672">
                  <c:v>36.815600000000728</c:v>
                </c:pt>
                <c:pt idx="673">
                  <c:v>36.815700000000732</c:v>
                </c:pt>
                <c:pt idx="674">
                  <c:v>36.815800000000735</c:v>
                </c:pt>
                <c:pt idx="675">
                  <c:v>36.815900000000738</c:v>
                </c:pt>
                <c:pt idx="676">
                  <c:v>36.816000000000741</c:v>
                </c:pt>
                <c:pt idx="677">
                  <c:v>36.816100000000745</c:v>
                </c:pt>
                <c:pt idx="678">
                  <c:v>36.816200000000748</c:v>
                </c:pt>
                <c:pt idx="679">
                  <c:v>36.816300000000751</c:v>
                </c:pt>
                <c:pt idx="680">
                  <c:v>36.816400000000755</c:v>
                </c:pt>
                <c:pt idx="681">
                  <c:v>36.816500000000758</c:v>
                </c:pt>
                <c:pt idx="682">
                  <c:v>36.816600000000761</c:v>
                </c:pt>
                <c:pt idx="683">
                  <c:v>36.816700000000765</c:v>
                </c:pt>
                <c:pt idx="684">
                  <c:v>36.816800000000768</c:v>
                </c:pt>
                <c:pt idx="685">
                  <c:v>36.816900000000771</c:v>
                </c:pt>
                <c:pt idx="686">
                  <c:v>36.817000000000775</c:v>
                </c:pt>
                <c:pt idx="687">
                  <c:v>36.817100000000778</c:v>
                </c:pt>
                <c:pt idx="688">
                  <c:v>36.817200000000781</c:v>
                </c:pt>
                <c:pt idx="689">
                  <c:v>36.817300000000785</c:v>
                </c:pt>
                <c:pt idx="690">
                  <c:v>36.817400000000788</c:v>
                </c:pt>
                <c:pt idx="691">
                  <c:v>36.817500000000791</c:v>
                </c:pt>
                <c:pt idx="692">
                  <c:v>36.817600000000795</c:v>
                </c:pt>
                <c:pt idx="693">
                  <c:v>36.817700000000798</c:v>
                </c:pt>
                <c:pt idx="694">
                  <c:v>36.817800000000801</c:v>
                </c:pt>
                <c:pt idx="695">
                  <c:v>36.817900000000805</c:v>
                </c:pt>
                <c:pt idx="696">
                  <c:v>36.818000000000808</c:v>
                </c:pt>
                <c:pt idx="697">
                  <c:v>36.818100000000811</c:v>
                </c:pt>
                <c:pt idx="698">
                  <c:v>36.818200000000814</c:v>
                </c:pt>
                <c:pt idx="699">
                  <c:v>36.818300000000818</c:v>
                </c:pt>
                <c:pt idx="700">
                  <c:v>36.818400000000821</c:v>
                </c:pt>
                <c:pt idx="701">
                  <c:v>36.818500000000824</c:v>
                </c:pt>
                <c:pt idx="702">
                  <c:v>36.818600000000828</c:v>
                </c:pt>
                <c:pt idx="703">
                  <c:v>36.818700000000831</c:v>
                </c:pt>
                <c:pt idx="704">
                  <c:v>36.818800000000834</c:v>
                </c:pt>
                <c:pt idx="705">
                  <c:v>36.818900000000838</c:v>
                </c:pt>
                <c:pt idx="706">
                  <c:v>36.819000000000841</c:v>
                </c:pt>
                <c:pt idx="707">
                  <c:v>36.819100000000844</c:v>
                </c:pt>
                <c:pt idx="708">
                  <c:v>36.819200000000848</c:v>
                </c:pt>
                <c:pt idx="709">
                  <c:v>36.819300000000851</c:v>
                </c:pt>
                <c:pt idx="710">
                  <c:v>36.819400000000854</c:v>
                </c:pt>
                <c:pt idx="711">
                  <c:v>36.819500000000858</c:v>
                </c:pt>
                <c:pt idx="712">
                  <c:v>36.819600000000861</c:v>
                </c:pt>
                <c:pt idx="713">
                  <c:v>36.819700000000864</c:v>
                </c:pt>
                <c:pt idx="714">
                  <c:v>36.819800000000868</c:v>
                </c:pt>
                <c:pt idx="715">
                  <c:v>36.819900000000871</c:v>
                </c:pt>
                <c:pt idx="716">
                  <c:v>36.820000000000874</c:v>
                </c:pt>
                <c:pt idx="717">
                  <c:v>36.820100000000878</c:v>
                </c:pt>
                <c:pt idx="718">
                  <c:v>36.820200000000881</c:v>
                </c:pt>
                <c:pt idx="719">
                  <c:v>36.820300000000884</c:v>
                </c:pt>
                <c:pt idx="720">
                  <c:v>36.820400000000888</c:v>
                </c:pt>
                <c:pt idx="721">
                  <c:v>36.820500000000891</c:v>
                </c:pt>
                <c:pt idx="722">
                  <c:v>36.820600000000894</c:v>
                </c:pt>
                <c:pt idx="723">
                  <c:v>36.820700000000897</c:v>
                </c:pt>
                <c:pt idx="724">
                  <c:v>36.820800000000901</c:v>
                </c:pt>
                <c:pt idx="725">
                  <c:v>36.820900000000904</c:v>
                </c:pt>
                <c:pt idx="726">
                  <c:v>36.821000000000907</c:v>
                </c:pt>
                <c:pt idx="727">
                  <c:v>36.821100000000911</c:v>
                </c:pt>
                <c:pt idx="728">
                  <c:v>36.821200000000914</c:v>
                </c:pt>
                <c:pt idx="729">
                  <c:v>36.821300000000917</c:v>
                </c:pt>
                <c:pt idx="730">
                  <c:v>36.821400000000921</c:v>
                </c:pt>
                <c:pt idx="731">
                  <c:v>36.821500000000924</c:v>
                </c:pt>
                <c:pt idx="732">
                  <c:v>36.821600000000927</c:v>
                </c:pt>
                <c:pt idx="733">
                  <c:v>36.821700000000931</c:v>
                </c:pt>
                <c:pt idx="734">
                  <c:v>36.821800000000934</c:v>
                </c:pt>
                <c:pt idx="735">
                  <c:v>36.821900000000937</c:v>
                </c:pt>
                <c:pt idx="736">
                  <c:v>36.822000000000941</c:v>
                </c:pt>
                <c:pt idx="737">
                  <c:v>36.822100000000944</c:v>
                </c:pt>
                <c:pt idx="738">
                  <c:v>36.822200000000947</c:v>
                </c:pt>
                <c:pt idx="739">
                  <c:v>36.822300000000951</c:v>
                </c:pt>
                <c:pt idx="740">
                  <c:v>36.822400000000954</c:v>
                </c:pt>
                <c:pt idx="741">
                  <c:v>36.822500000000957</c:v>
                </c:pt>
                <c:pt idx="742">
                  <c:v>36.822600000000961</c:v>
                </c:pt>
                <c:pt idx="743">
                  <c:v>36.822700000000964</c:v>
                </c:pt>
                <c:pt idx="744">
                  <c:v>36.822800000000967</c:v>
                </c:pt>
                <c:pt idx="745">
                  <c:v>36.822900000000971</c:v>
                </c:pt>
                <c:pt idx="746">
                  <c:v>36.823000000000974</c:v>
                </c:pt>
                <c:pt idx="747">
                  <c:v>36.823100000000977</c:v>
                </c:pt>
                <c:pt idx="748">
                  <c:v>36.82320000000098</c:v>
                </c:pt>
                <c:pt idx="749">
                  <c:v>36.823300000000984</c:v>
                </c:pt>
                <c:pt idx="750">
                  <c:v>36.823400000000987</c:v>
                </c:pt>
                <c:pt idx="751">
                  <c:v>36.82350000000099</c:v>
                </c:pt>
                <c:pt idx="752">
                  <c:v>36.823600000000994</c:v>
                </c:pt>
                <c:pt idx="753">
                  <c:v>36.823700000000997</c:v>
                </c:pt>
                <c:pt idx="754">
                  <c:v>36.823800000001</c:v>
                </c:pt>
                <c:pt idx="755">
                  <c:v>36.823900000001004</c:v>
                </c:pt>
                <c:pt idx="756">
                  <c:v>36.824000000001007</c:v>
                </c:pt>
                <c:pt idx="757">
                  <c:v>36.82410000000101</c:v>
                </c:pt>
                <c:pt idx="758">
                  <c:v>36.824200000001014</c:v>
                </c:pt>
                <c:pt idx="759">
                  <c:v>36.824300000001017</c:v>
                </c:pt>
                <c:pt idx="760">
                  <c:v>36.82440000000102</c:v>
                </c:pt>
                <c:pt idx="761">
                  <c:v>36.824500000001024</c:v>
                </c:pt>
                <c:pt idx="762">
                  <c:v>36.824600000001027</c:v>
                </c:pt>
                <c:pt idx="763">
                  <c:v>36.82470000000103</c:v>
                </c:pt>
                <c:pt idx="764">
                  <c:v>36.824800000001034</c:v>
                </c:pt>
                <c:pt idx="765">
                  <c:v>36.824900000001037</c:v>
                </c:pt>
                <c:pt idx="766">
                  <c:v>36.82500000000104</c:v>
                </c:pt>
                <c:pt idx="767">
                  <c:v>36.825100000001044</c:v>
                </c:pt>
                <c:pt idx="768">
                  <c:v>36.825200000001047</c:v>
                </c:pt>
                <c:pt idx="769">
                  <c:v>36.82530000000105</c:v>
                </c:pt>
                <c:pt idx="770">
                  <c:v>36.825400000001054</c:v>
                </c:pt>
                <c:pt idx="771">
                  <c:v>36.825500000001057</c:v>
                </c:pt>
                <c:pt idx="772">
                  <c:v>36.82560000000106</c:v>
                </c:pt>
                <c:pt idx="773">
                  <c:v>36.825700000001063</c:v>
                </c:pt>
                <c:pt idx="774">
                  <c:v>36.825800000001067</c:v>
                </c:pt>
                <c:pt idx="775">
                  <c:v>36.82590000000107</c:v>
                </c:pt>
                <c:pt idx="776">
                  <c:v>36.826000000001073</c:v>
                </c:pt>
                <c:pt idx="777">
                  <c:v>36.826100000001077</c:v>
                </c:pt>
                <c:pt idx="778">
                  <c:v>36.82620000000108</c:v>
                </c:pt>
                <c:pt idx="779">
                  <c:v>36.826300000001083</c:v>
                </c:pt>
                <c:pt idx="780">
                  <c:v>36.826400000001087</c:v>
                </c:pt>
                <c:pt idx="781">
                  <c:v>36.82650000000109</c:v>
                </c:pt>
                <c:pt idx="782">
                  <c:v>36.826600000001093</c:v>
                </c:pt>
                <c:pt idx="783">
                  <c:v>36.826700000001097</c:v>
                </c:pt>
                <c:pt idx="784">
                  <c:v>36.8268000000011</c:v>
                </c:pt>
                <c:pt idx="785">
                  <c:v>36.826900000001103</c:v>
                </c:pt>
                <c:pt idx="786">
                  <c:v>36.827000000001107</c:v>
                </c:pt>
                <c:pt idx="787">
                  <c:v>36.82710000000111</c:v>
                </c:pt>
                <c:pt idx="788">
                  <c:v>36.827200000001113</c:v>
                </c:pt>
                <c:pt idx="789">
                  <c:v>36.827300000001117</c:v>
                </c:pt>
                <c:pt idx="790">
                  <c:v>36.82740000000112</c:v>
                </c:pt>
                <c:pt idx="791">
                  <c:v>36.827500000001123</c:v>
                </c:pt>
                <c:pt idx="792">
                  <c:v>36.827600000001127</c:v>
                </c:pt>
                <c:pt idx="793">
                  <c:v>36.82770000000113</c:v>
                </c:pt>
                <c:pt idx="794">
                  <c:v>36.827800000001133</c:v>
                </c:pt>
                <c:pt idx="795">
                  <c:v>36.827900000001137</c:v>
                </c:pt>
                <c:pt idx="796">
                  <c:v>36.82800000000114</c:v>
                </c:pt>
                <c:pt idx="797">
                  <c:v>36.828100000001143</c:v>
                </c:pt>
                <c:pt idx="798">
                  <c:v>36.828200000001146</c:v>
                </c:pt>
                <c:pt idx="799">
                  <c:v>36.82830000000115</c:v>
                </c:pt>
                <c:pt idx="800">
                  <c:v>36.828400000001153</c:v>
                </c:pt>
                <c:pt idx="801">
                  <c:v>36.828500000001156</c:v>
                </c:pt>
                <c:pt idx="802">
                  <c:v>36.82860000000116</c:v>
                </c:pt>
                <c:pt idx="803">
                  <c:v>36.828700000001163</c:v>
                </c:pt>
                <c:pt idx="804">
                  <c:v>36.828800000001166</c:v>
                </c:pt>
                <c:pt idx="805">
                  <c:v>36.82890000000117</c:v>
                </c:pt>
                <c:pt idx="806">
                  <c:v>36.829000000001173</c:v>
                </c:pt>
                <c:pt idx="807">
                  <c:v>36.829100000001176</c:v>
                </c:pt>
                <c:pt idx="808">
                  <c:v>36.82920000000118</c:v>
                </c:pt>
                <c:pt idx="809">
                  <c:v>36.829300000001183</c:v>
                </c:pt>
                <c:pt idx="810">
                  <c:v>36.829400000001186</c:v>
                </c:pt>
                <c:pt idx="811">
                  <c:v>36.82950000000119</c:v>
                </c:pt>
                <c:pt idx="812">
                  <c:v>36.829600000001193</c:v>
                </c:pt>
                <c:pt idx="813">
                  <c:v>36.829700000001196</c:v>
                </c:pt>
                <c:pt idx="814">
                  <c:v>36.8298000000012</c:v>
                </c:pt>
                <c:pt idx="815">
                  <c:v>36.829900000001203</c:v>
                </c:pt>
                <c:pt idx="816">
                  <c:v>36.830000000001206</c:v>
                </c:pt>
                <c:pt idx="817">
                  <c:v>36.83010000000121</c:v>
                </c:pt>
                <c:pt idx="818">
                  <c:v>36.830200000001213</c:v>
                </c:pt>
                <c:pt idx="819">
                  <c:v>36.830300000001216</c:v>
                </c:pt>
                <c:pt idx="820">
                  <c:v>36.830400000001219</c:v>
                </c:pt>
                <c:pt idx="821">
                  <c:v>36.830500000001223</c:v>
                </c:pt>
                <c:pt idx="822">
                  <c:v>36.830600000001226</c:v>
                </c:pt>
                <c:pt idx="823">
                  <c:v>36.830700000001229</c:v>
                </c:pt>
                <c:pt idx="824">
                  <c:v>36.830800000001233</c:v>
                </c:pt>
                <c:pt idx="825">
                  <c:v>36.830900000001236</c:v>
                </c:pt>
                <c:pt idx="826">
                  <c:v>36.831000000001239</c:v>
                </c:pt>
                <c:pt idx="827">
                  <c:v>36.831100000001243</c:v>
                </c:pt>
                <c:pt idx="828">
                  <c:v>36.831200000001246</c:v>
                </c:pt>
                <c:pt idx="829">
                  <c:v>36.831300000001249</c:v>
                </c:pt>
                <c:pt idx="830">
                  <c:v>36.831400000001253</c:v>
                </c:pt>
                <c:pt idx="831">
                  <c:v>36.831500000001256</c:v>
                </c:pt>
                <c:pt idx="832">
                  <c:v>36.831600000001259</c:v>
                </c:pt>
                <c:pt idx="833">
                  <c:v>36.831700000001263</c:v>
                </c:pt>
                <c:pt idx="834">
                  <c:v>36.831800000001266</c:v>
                </c:pt>
                <c:pt idx="835">
                  <c:v>36.831900000001269</c:v>
                </c:pt>
                <c:pt idx="836">
                  <c:v>36.832000000001273</c:v>
                </c:pt>
                <c:pt idx="837">
                  <c:v>36.832100000001276</c:v>
                </c:pt>
                <c:pt idx="838">
                  <c:v>36.832200000001279</c:v>
                </c:pt>
                <c:pt idx="839">
                  <c:v>36.832300000001283</c:v>
                </c:pt>
                <c:pt idx="840">
                  <c:v>36.832400000001286</c:v>
                </c:pt>
                <c:pt idx="841">
                  <c:v>36.832500000001289</c:v>
                </c:pt>
                <c:pt idx="842">
                  <c:v>36.832600000001293</c:v>
                </c:pt>
                <c:pt idx="843">
                  <c:v>36.832700000001296</c:v>
                </c:pt>
                <c:pt idx="844">
                  <c:v>36.832800000001299</c:v>
                </c:pt>
                <c:pt idx="845">
                  <c:v>36.832900000001302</c:v>
                </c:pt>
                <c:pt idx="846">
                  <c:v>36.833000000001306</c:v>
                </c:pt>
                <c:pt idx="847">
                  <c:v>36.833100000001309</c:v>
                </c:pt>
                <c:pt idx="848">
                  <c:v>36.833200000001312</c:v>
                </c:pt>
                <c:pt idx="849">
                  <c:v>36.833300000001316</c:v>
                </c:pt>
                <c:pt idx="850">
                  <c:v>36.833400000001319</c:v>
                </c:pt>
                <c:pt idx="851">
                  <c:v>36.833500000001322</c:v>
                </c:pt>
                <c:pt idx="852">
                  <c:v>36.833600000001326</c:v>
                </c:pt>
                <c:pt idx="853">
                  <c:v>36.833700000001329</c:v>
                </c:pt>
                <c:pt idx="854">
                  <c:v>36.833800000001332</c:v>
                </c:pt>
                <c:pt idx="855">
                  <c:v>36.833900000001336</c:v>
                </c:pt>
                <c:pt idx="856">
                  <c:v>36.834000000001339</c:v>
                </c:pt>
                <c:pt idx="857">
                  <c:v>36.834100000001342</c:v>
                </c:pt>
                <c:pt idx="858">
                  <c:v>36.834200000001346</c:v>
                </c:pt>
                <c:pt idx="859">
                  <c:v>36.834300000001349</c:v>
                </c:pt>
                <c:pt idx="860">
                  <c:v>36.834400000001352</c:v>
                </c:pt>
                <c:pt idx="861">
                  <c:v>36.834500000001356</c:v>
                </c:pt>
                <c:pt idx="862">
                  <c:v>36.834600000001359</c:v>
                </c:pt>
                <c:pt idx="863">
                  <c:v>36.834700000001362</c:v>
                </c:pt>
                <c:pt idx="864">
                  <c:v>36.834800000001366</c:v>
                </c:pt>
                <c:pt idx="865">
                  <c:v>36.834900000001369</c:v>
                </c:pt>
                <c:pt idx="866">
                  <c:v>36.835000000001372</c:v>
                </c:pt>
                <c:pt idx="867">
                  <c:v>36.835100000001376</c:v>
                </c:pt>
                <c:pt idx="868">
                  <c:v>36.835200000001379</c:v>
                </c:pt>
                <c:pt idx="869">
                  <c:v>36.835300000001382</c:v>
                </c:pt>
                <c:pt idx="870">
                  <c:v>36.835400000001385</c:v>
                </c:pt>
                <c:pt idx="871">
                  <c:v>36.835500000001389</c:v>
                </c:pt>
                <c:pt idx="872">
                  <c:v>36.835600000001392</c:v>
                </c:pt>
                <c:pt idx="873">
                  <c:v>36.835700000001395</c:v>
                </c:pt>
                <c:pt idx="874">
                  <c:v>36.835800000001399</c:v>
                </c:pt>
                <c:pt idx="875">
                  <c:v>36.835900000001402</c:v>
                </c:pt>
                <c:pt idx="876">
                  <c:v>36.836000000001405</c:v>
                </c:pt>
                <c:pt idx="877">
                  <c:v>36.836100000001409</c:v>
                </c:pt>
                <c:pt idx="878">
                  <c:v>36.836200000001412</c:v>
                </c:pt>
                <c:pt idx="879">
                  <c:v>36.836300000001415</c:v>
                </c:pt>
                <c:pt idx="880">
                  <c:v>36.836400000001419</c:v>
                </c:pt>
                <c:pt idx="881">
                  <c:v>36.836500000001422</c:v>
                </c:pt>
                <c:pt idx="882">
                  <c:v>36.836600000001425</c:v>
                </c:pt>
                <c:pt idx="883">
                  <c:v>36.836700000001429</c:v>
                </c:pt>
                <c:pt idx="884">
                  <c:v>36.836800000001432</c:v>
                </c:pt>
                <c:pt idx="885">
                  <c:v>36.836900000001435</c:v>
                </c:pt>
                <c:pt idx="886">
                  <c:v>36.837000000001439</c:v>
                </c:pt>
                <c:pt idx="887">
                  <c:v>36.837100000001442</c:v>
                </c:pt>
                <c:pt idx="888">
                  <c:v>36.837200000001445</c:v>
                </c:pt>
                <c:pt idx="889">
                  <c:v>36.837300000001449</c:v>
                </c:pt>
                <c:pt idx="890">
                  <c:v>36.837400000001452</c:v>
                </c:pt>
                <c:pt idx="891">
                  <c:v>36.837500000001455</c:v>
                </c:pt>
                <c:pt idx="892">
                  <c:v>36.837600000001459</c:v>
                </c:pt>
                <c:pt idx="893">
                  <c:v>36.837700000001462</c:v>
                </c:pt>
                <c:pt idx="894">
                  <c:v>36.837800000001465</c:v>
                </c:pt>
                <c:pt idx="895">
                  <c:v>36.837900000001468</c:v>
                </c:pt>
                <c:pt idx="896">
                  <c:v>36.838000000001472</c:v>
                </c:pt>
                <c:pt idx="897">
                  <c:v>36.838100000001475</c:v>
                </c:pt>
                <c:pt idx="898">
                  <c:v>36.838200000001478</c:v>
                </c:pt>
                <c:pt idx="899">
                  <c:v>36.838300000001482</c:v>
                </c:pt>
                <c:pt idx="900">
                  <c:v>36.838400000001485</c:v>
                </c:pt>
                <c:pt idx="901">
                  <c:v>36.838500000001488</c:v>
                </c:pt>
                <c:pt idx="902">
                  <c:v>36.838600000001492</c:v>
                </c:pt>
                <c:pt idx="903">
                  <c:v>36.838700000001495</c:v>
                </c:pt>
                <c:pt idx="904">
                  <c:v>36.838800000001498</c:v>
                </c:pt>
                <c:pt idx="905">
                  <c:v>36.838900000001502</c:v>
                </c:pt>
                <c:pt idx="906">
                  <c:v>36.839000000001505</c:v>
                </c:pt>
                <c:pt idx="907">
                  <c:v>36.839100000001508</c:v>
                </c:pt>
                <c:pt idx="908">
                  <c:v>36.839200000001512</c:v>
                </c:pt>
                <c:pt idx="909">
                  <c:v>36.839300000001515</c:v>
                </c:pt>
                <c:pt idx="910">
                  <c:v>36.839400000001518</c:v>
                </c:pt>
                <c:pt idx="911">
                  <c:v>36.839500000001522</c:v>
                </c:pt>
                <c:pt idx="912">
                  <c:v>36.839600000001525</c:v>
                </c:pt>
                <c:pt idx="913">
                  <c:v>36.839700000001528</c:v>
                </c:pt>
                <c:pt idx="914">
                  <c:v>36.839800000001532</c:v>
                </c:pt>
                <c:pt idx="915">
                  <c:v>36.839900000001535</c:v>
                </c:pt>
                <c:pt idx="916">
                  <c:v>36.840000000001538</c:v>
                </c:pt>
                <c:pt idx="917">
                  <c:v>36.840100000001542</c:v>
                </c:pt>
                <c:pt idx="918">
                  <c:v>36.840200000001545</c:v>
                </c:pt>
                <c:pt idx="919">
                  <c:v>36.840300000001548</c:v>
                </c:pt>
                <c:pt idx="920">
                  <c:v>36.840400000001551</c:v>
                </c:pt>
                <c:pt idx="921">
                  <c:v>36.840500000001555</c:v>
                </c:pt>
                <c:pt idx="922">
                  <c:v>36.840600000001558</c:v>
                </c:pt>
                <c:pt idx="923">
                  <c:v>36.840700000001561</c:v>
                </c:pt>
                <c:pt idx="924">
                  <c:v>36.840800000001565</c:v>
                </c:pt>
                <c:pt idx="925">
                  <c:v>36.840900000001568</c:v>
                </c:pt>
                <c:pt idx="926">
                  <c:v>36.841000000001571</c:v>
                </c:pt>
                <c:pt idx="927">
                  <c:v>36.841100000001575</c:v>
                </c:pt>
                <c:pt idx="928">
                  <c:v>36.841200000001578</c:v>
                </c:pt>
                <c:pt idx="929">
                  <c:v>36.841300000001581</c:v>
                </c:pt>
                <c:pt idx="930">
                  <c:v>36.841400000001585</c:v>
                </c:pt>
                <c:pt idx="931">
                  <c:v>36.841500000001588</c:v>
                </c:pt>
                <c:pt idx="932">
                  <c:v>36.841600000001591</c:v>
                </c:pt>
                <c:pt idx="933">
                  <c:v>36.841700000001595</c:v>
                </c:pt>
                <c:pt idx="934">
                  <c:v>36.841800000001598</c:v>
                </c:pt>
                <c:pt idx="935">
                  <c:v>36.841900000001601</c:v>
                </c:pt>
                <c:pt idx="936">
                  <c:v>36.842000000001605</c:v>
                </c:pt>
                <c:pt idx="937">
                  <c:v>36.842100000001608</c:v>
                </c:pt>
                <c:pt idx="938">
                  <c:v>36.842200000001611</c:v>
                </c:pt>
                <c:pt idx="939">
                  <c:v>36.842300000001615</c:v>
                </c:pt>
                <c:pt idx="940">
                  <c:v>36.842400000001618</c:v>
                </c:pt>
                <c:pt idx="941">
                  <c:v>36.842500000001621</c:v>
                </c:pt>
                <c:pt idx="942">
                  <c:v>36.842600000001624</c:v>
                </c:pt>
                <c:pt idx="943">
                  <c:v>36.842700000001628</c:v>
                </c:pt>
                <c:pt idx="944">
                  <c:v>36.842800000001631</c:v>
                </c:pt>
                <c:pt idx="945">
                  <c:v>36.842900000001634</c:v>
                </c:pt>
                <c:pt idx="946">
                  <c:v>36.843000000001638</c:v>
                </c:pt>
                <c:pt idx="947">
                  <c:v>36.843100000001641</c:v>
                </c:pt>
                <c:pt idx="948">
                  <c:v>36.843200000001644</c:v>
                </c:pt>
                <c:pt idx="949">
                  <c:v>36.843300000001648</c:v>
                </c:pt>
                <c:pt idx="950">
                  <c:v>36.843400000001651</c:v>
                </c:pt>
                <c:pt idx="951">
                  <c:v>36.843500000001654</c:v>
                </c:pt>
                <c:pt idx="952">
                  <c:v>36.843600000001658</c:v>
                </c:pt>
                <c:pt idx="953">
                  <c:v>36.843700000001661</c:v>
                </c:pt>
                <c:pt idx="954">
                  <c:v>36.843800000001664</c:v>
                </c:pt>
                <c:pt idx="955">
                  <c:v>36.843900000001668</c:v>
                </c:pt>
                <c:pt idx="956">
                  <c:v>36.844000000001671</c:v>
                </c:pt>
                <c:pt idx="957">
                  <c:v>36.844100000001674</c:v>
                </c:pt>
                <c:pt idx="958">
                  <c:v>36.844200000001678</c:v>
                </c:pt>
                <c:pt idx="959">
                  <c:v>36.844300000001681</c:v>
                </c:pt>
                <c:pt idx="960">
                  <c:v>36.844400000001684</c:v>
                </c:pt>
                <c:pt idx="961">
                  <c:v>36.844500000001688</c:v>
                </c:pt>
                <c:pt idx="962">
                  <c:v>36.844600000001691</c:v>
                </c:pt>
                <c:pt idx="963">
                  <c:v>36.844700000001694</c:v>
                </c:pt>
                <c:pt idx="964">
                  <c:v>36.844800000001698</c:v>
                </c:pt>
                <c:pt idx="965">
                  <c:v>36.844900000001701</c:v>
                </c:pt>
                <c:pt idx="966">
                  <c:v>36.845000000001704</c:v>
                </c:pt>
                <c:pt idx="967">
                  <c:v>36.845100000001707</c:v>
                </c:pt>
                <c:pt idx="968">
                  <c:v>36.845200000001711</c:v>
                </c:pt>
                <c:pt idx="969">
                  <c:v>36.845300000001714</c:v>
                </c:pt>
                <c:pt idx="970">
                  <c:v>36.845400000001717</c:v>
                </c:pt>
                <c:pt idx="971">
                  <c:v>36.845500000001721</c:v>
                </c:pt>
                <c:pt idx="972">
                  <c:v>36.845600000001724</c:v>
                </c:pt>
                <c:pt idx="973">
                  <c:v>36.845700000001727</c:v>
                </c:pt>
                <c:pt idx="974">
                  <c:v>36.845800000001731</c:v>
                </c:pt>
                <c:pt idx="975">
                  <c:v>36.845900000001734</c:v>
                </c:pt>
                <c:pt idx="976">
                  <c:v>36.846000000001737</c:v>
                </c:pt>
                <c:pt idx="977">
                  <c:v>36.846100000001741</c:v>
                </c:pt>
                <c:pt idx="978">
                  <c:v>36.846200000001744</c:v>
                </c:pt>
                <c:pt idx="979">
                  <c:v>36.846300000001747</c:v>
                </c:pt>
                <c:pt idx="980">
                  <c:v>36.846400000001751</c:v>
                </c:pt>
                <c:pt idx="981">
                  <c:v>36.846500000001754</c:v>
                </c:pt>
                <c:pt idx="982">
                  <c:v>36.846600000001757</c:v>
                </c:pt>
                <c:pt idx="983">
                  <c:v>36.846700000001761</c:v>
                </c:pt>
                <c:pt idx="984">
                  <c:v>36.846800000001764</c:v>
                </c:pt>
                <c:pt idx="985">
                  <c:v>36.846900000001767</c:v>
                </c:pt>
                <c:pt idx="986">
                  <c:v>36.847000000001771</c:v>
                </c:pt>
                <c:pt idx="987">
                  <c:v>36.847100000001774</c:v>
                </c:pt>
                <c:pt idx="988">
                  <c:v>36.847200000001777</c:v>
                </c:pt>
                <c:pt idx="989">
                  <c:v>36.847300000001781</c:v>
                </c:pt>
                <c:pt idx="990">
                  <c:v>36.847400000001784</c:v>
                </c:pt>
                <c:pt idx="991">
                  <c:v>36.847500000001787</c:v>
                </c:pt>
                <c:pt idx="992">
                  <c:v>36.84760000000179</c:v>
                </c:pt>
                <c:pt idx="993">
                  <c:v>36.847700000001794</c:v>
                </c:pt>
                <c:pt idx="994">
                  <c:v>36.847800000001797</c:v>
                </c:pt>
                <c:pt idx="995">
                  <c:v>36.8479000000018</c:v>
                </c:pt>
                <c:pt idx="996">
                  <c:v>36.848000000001804</c:v>
                </c:pt>
                <c:pt idx="997">
                  <c:v>36.848100000001807</c:v>
                </c:pt>
                <c:pt idx="998">
                  <c:v>36.84820000000181</c:v>
                </c:pt>
                <c:pt idx="999">
                  <c:v>36.848300000001814</c:v>
                </c:pt>
                <c:pt idx="1000">
                  <c:v>36.848400000001817</c:v>
                </c:pt>
              </c:numCache>
            </c:numRef>
          </c:xVal>
          <c:yVal>
            <c:numRef>
              <c:f>Calculs!$AH$4:$AH$1004</c:f>
              <c:numCache>
                <c:formatCode>0.00</c:formatCode>
                <c:ptCount val="1001"/>
                <c:pt idx="0">
                  <c:v>0</c:v>
                </c:pt>
                <c:pt idx="1">
                  <c:v>-3.9388152191307308</c:v>
                </c:pt>
                <c:pt idx="2">
                  <c:v>37.037111922122079</c:v>
                </c:pt>
                <c:pt idx="3">
                  <c:v>54.181092557251475</c:v>
                </c:pt>
                <c:pt idx="4">
                  <c:v>47.527639805173344</c:v>
                </c:pt>
                <c:pt idx="5">
                  <c:v>44.023929291701805</c:v>
                </c:pt>
                <c:pt idx="6">
                  <c:v>43.66566385459064</c:v>
                </c:pt>
                <c:pt idx="7">
                  <c:v>43.307927380005466</c:v>
                </c:pt>
                <c:pt idx="8">
                  <c:v>42.950725872282369</c:v>
                </c:pt>
                <c:pt idx="9">
                  <c:v>42.594065245916333</c:v>
                </c:pt>
                <c:pt idx="10">
                  <c:v>42.237951325803088</c:v>
                </c:pt>
                <c:pt idx="11">
                  <c:v>41.882389847490067</c:v>
                </c:pt>
                <c:pt idx="12">
                  <c:v>41.527386457436677</c:v>
                </c:pt>
                <c:pt idx="13">
                  <c:v>41.172946713283679</c:v>
                </c:pt>
                <c:pt idx="14">
                  <c:v>40.819076084131368</c:v>
                </c:pt>
                <c:pt idx="15">
                  <c:v>40.465779950826544</c:v>
                </c:pt>
                <c:pt idx="16">
                  <c:v>40.113063606258059</c:v>
                </c:pt>
                <c:pt idx="17">
                  <c:v>39.760932255660691</c:v>
                </c:pt>
                <c:pt idx="18">
                  <c:v>39.409391016927316</c:v>
                </c:pt>
                <c:pt idx="19">
                  <c:v>39.058444920929148</c:v>
                </c:pt>
                <c:pt idx="20">
                  <c:v>38.708098911843763</c:v>
                </c:pt>
                <c:pt idx="21">
                  <c:v>38.358357847491042</c:v>
                </c:pt>
                <c:pt idx="22">
                  <c:v>38.009226499676586</c:v>
                </c:pt>
                <c:pt idx="23">
                  <c:v>37.660709554542535</c:v>
                </c:pt>
                <c:pt idx="24">
                  <c:v>37.31281161292565</c:v>
                </c:pt>
                <c:pt idx="25">
                  <c:v>36.965537190722593</c:v>
                </c:pt>
                <c:pt idx="26">
                  <c:v>36.618890719261884</c:v>
                </c:pt>
                <c:pt idx="27">
                  <c:v>36.272876545682927</c:v>
                </c:pt>
                <c:pt idx="28">
                  <c:v>35.927498933321424</c:v>
                </c:pt>
                <c:pt idx="29">
                  <c:v>35.582762062101345</c:v>
                </c:pt>
                <c:pt idx="30">
                  <c:v>35.2386700289332</c:v>
                </c:pt>
                <c:pt idx="31">
                  <c:v>34.89522684811832</c:v>
                </c:pt>
                <c:pt idx="32">
                  <c:v>34.552436451759384</c:v>
                </c:pt>
                <c:pt idx="33">
                  <c:v>34.210302690176441</c:v>
                </c:pt>
                <c:pt idx="34">
                  <c:v>33.868829332328851</c:v>
                </c:pt>
                <c:pt idx="35">
                  <c:v>33.528020066242689</c:v>
                </c:pt>
                <c:pt idx="36">
                  <c:v>33.187878499443478</c:v>
                </c:pt>
                <c:pt idx="37">
                  <c:v>32.848408159394133</c:v>
                </c:pt>
                <c:pt idx="38">
                  <c:v>32.509612493938079</c:v>
                </c:pt>
                <c:pt idx="39">
                  <c:v>32.171494871747122</c:v>
                </c:pt>
                <c:pt idx="40">
                  <c:v>31.834058582774237</c:v>
                </c:pt>
                <c:pt idx="41">
                  <c:v>31.497306838710987</c:v>
                </c:pt>
                <c:pt idx="42">
                  <c:v>31.161242773449214</c:v>
                </c:pt>
                <c:pt idx="43">
                  <c:v>30.825869443547379</c:v>
                </c:pt>
                <c:pt idx="44">
                  <c:v>30.491189828700868</c:v>
                </c:pt>
                <c:pt idx="45">
                  <c:v>30.15720683221641</c:v>
                </c:pt>
                <c:pt idx="46">
                  <c:v>29.823923281490423</c:v>
                </c:pt>
                <c:pt idx="47">
                  <c:v>29.491341928491181</c:v>
                </c:pt>
                <c:pt idx="48">
                  <c:v>29.159465450244483</c:v>
                </c:pt>
                <c:pt idx="49">
                  <c:v>28.828296449323055</c:v>
                </c:pt>
                <c:pt idx="50">
                  <c:v>28.497837454338939</c:v>
                </c:pt>
                <c:pt idx="51">
                  <c:v>28.168090920439504</c:v>
                </c:pt>
                <c:pt idx="52">
                  <c:v>27.839059229806374</c:v>
                </c:pt>
                <c:pt idx="53">
                  <c:v>27.51074469215725</c:v>
                </c:pt>
                <c:pt idx="54">
                  <c:v>27.183149545250782</c:v>
                </c:pt>
                <c:pt idx="55">
                  <c:v>26.856275955393905</c:v>
                </c:pt>
                <c:pt idx="56">
                  <c:v>26.530126017951901</c:v>
                </c:pt>
                <c:pt idx="57">
                  <c:v>26.204701757860992</c:v>
                </c:pt>
                <c:pt idx="58">
                  <c:v>25.880005130142958</c:v>
                </c:pt>
                <c:pt idx="59">
                  <c:v>25.55603802042237</c:v>
                </c:pt>
                <c:pt idx="60">
                  <c:v>25.232802245445555</c:v>
                </c:pt>
                <c:pt idx="61">
                  <c:v>24.910299553601817</c:v>
                </c:pt>
                <c:pt idx="62">
                  <c:v>24.588531625446134</c:v>
                </c:pt>
                <c:pt idx="63">
                  <c:v>23.993868915345207</c:v>
                </c:pt>
                <c:pt idx="64">
                  <c:v>23.126880869199841</c:v>
                </c:pt>
                <c:pt idx="65">
                  <c:v>22.261927324119881</c:v>
                </c:pt>
                <c:pt idx="66">
                  <c:v>21.39901914666936</c:v>
                </c:pt>
                <c:pt idx="67">
                  <c:v>20.287312191058568</c:v>
                </c:pt>
                <c:pt idx="68">
                  <c:v>18.927363205390836</c:v>
                </c:pt>
                <c:pt idx="69">
                  <c:v>17.12454180142031</c:v>
                </c:pt>
                <c:pt idx="70">
                  <c:v>14.87988655503176</c:v>
                </c:pt>
                <c:pt idx="71">
                  <c:v>12.640855876328148</c:v>
                </c:pt>
                <c:pt idx="72">
                  <c:v>10.407517139923426</c:v>
                </c:pt>
                <c:pt idx="73">
                  <c:v>8.17993479130776</c:v>
                </c:pt>
                <c:pt idx="74">
                  <c:v>5.9581703688946002</c:v>
                </c:pt>
                <c:pt idx="75">
                  <c:v>3.7422825267907576</c:v>
                </c:pt>
                <c:pt idx="76">
                  <c:v>1.5323270582567676</c:v>
                </c:pt>
                <c:pt idx="77">
                  <c:v>-0.67164308017462238</c:v>
                </c:pt>
                <c:pt idx="78">
                  <c:v>-2.8695777439541694</c:v>
                </c:pt>
                <c:pt idx="79">
                  <c:v>-5.0614295751776543</c:v>
                </c:pt>
                <c:pt idx="80">
                  <c:v>-7.247153976684463</c:v>
                </c:pt>
                <c:pt idx="81">
                  <c:v>-8.8958656626170463</c:v>
                </c:pt>
                <c:pt idx="82">
                  <c:v>-10.009022194664373</c:v>
                </c:pt>
                <c:pt idx="83">
                  <c:v>-11.119050970744729</c:v>
                </c:pt>
                <c:pt idx="84">
                  <c:v>-12.225952238183206</c:v>
                </c:pt>
                <c:pt idx="85">
                  <c:v>-13.329726880298539</c:v>
                </c:pt>
                <c:pt idx="86">
                  <c:v>-14.430376408457537</c:v>
                </c:pt>
                <c:pt idx="87">
                  <c:v>-15.527902954138009</c:v>
                </c:pt>
                <c:pt idx="88">
                  <c:v>-16.62230926100316</c:v>
                </c:pt>
                <c:pt idx="89">
                  <c:v>-17.545864874404163</c:v>
                </c:pt>
                <c:pt idx="90">
                  <c:v>-18.299068489940105</c:v>
                </c:pt>
                <c:pt idx="91">
                  <c:v>-19.050172141175722</c:v>
                </c:pt>
                <c:pt idx="92">
                  <c:v>-19.799182982950224</c:v>
                </c:pt>
                <c:pt idx="93">
                  <c:v>-20.504167670142007</c:v>
                </c:pt>
                <c:pt idx="94">
                  <c:v>-21.165259199279763</c:v>
                </c:pt>
                <c:pt idx="95">
                  <c:v>-21.824534528321998</c:v>
                </c:pt>
                <c:pt idx="96">
                  <c:v>-22.482001617468345</c:v>
                </c:pt>
                <c:pt idx="97">
                  <c:v>-22.969887156358272</c:v>
                </c:pt>
                <c:pt idx="98">
                  <c:v>-23.288705965385024</c:v>
                </c:pt>
                <c:pt idx="99">
                  <c:v>-23.606759986522665</c:v>
                </c:pt>
                <c:pt idx="100">
                  <c:v>-23.924054638492905</c:v>
                </c:pt>
                <c:pt idx="101">
                  <c:v>-24.24059535817312</c:v>
                </c:pt>
                <c:pt idx="102">
                  <c:v>-24.556387600181385</c:v>
                </c:pt>
                <c:pt idx="103">
                  <c:v>-24.871436836468781</c:v>
                </c:pt>
                <c:pt idx="104">
                  <c:v>-25.185748555918543</c:v>
                </c:pt>
                <c:pt idx="105">
                  <c:v>-25.499328263952201</c:v>
                </c:pt>
                <c:pt idx="106">
                  <c:v>-25.812181482142545</c:v>
                </c:pt>
                <c:pt idx="107">
                  <c:v>-26.12431374783359</c:v>
                </c:pt>
                <c:pt idx="108">
                  <c:v>-26.435730613767241</c:v>
                </c:pt>
                <c:pt idx="109">
                  <c:v>-26.536686606504631</c:v>
                </c:pt>
                <c:pt idx="110">
                  <c:v>-26.427822784733817</c:v>
                </c:pt>
                <c:pt idx="111">
                  <c:v>-26.319524850381832</c:v>
                </c:pt>
                <c:pt idx="112">
                  <c:v>-26.211788900796424</c:v>
                </c:pt>
                <c:pt idx="113">
                  <c:v>-26.10461106717656</c:v>
                </c:pt>
                <c:pt idx="114">
                  <c:v>-25.997987514219663</c:v>
                </c:pt>
                <c:pt idx="115">
                  <c:v>-25.891914439773139</c:v>
                </c:pt>
                <c:pt idx="116">
                  <c:v>-25.786388074490219</c:v>
                </c:pt>
                <c:pt idx="117">
                  <c:v>-25.681404681489912</c:v>
                </c:pt>
                <c:pt idx="118">
                  <c:v>-25.576960556021028</c:v>
                </c:pt>
                <c:pt idx="119">
                  <c:v>-25.473052025130421</c:v>
                </c:pt>
                <c:pt idx="120">
                  <c:v>-25.369675447335041</c:v>
                </c:pt>
                <c:pt idx="121">
                  <c:v>-25.266827212298015</c:v>
                </c:pt>
                <c:pt idx="122">
                  <c:v>-25.164503740508724</c:v>
                </c:pt>
                <c:pt idx="123">
                  <c:v>-25.062701482966499</c:v>
                </c:pt>
                <c:pt idx="124">
                  <c:v>-24.961416920868338</c:v>
                </c:pt>
                <c:pt idx="125">
                  <c:v>-24.860646565300119</c:v>
                </c:pt>
                <c:pt idx="126">
                  <c:v>-24.760386956931761</c:v>
                </c:pt>
                <c:pt idx="127">
                  <c:v>-24.660634665715783</c:v>
                </c:pt>
                <c:pt idx="128">
                  <c:v>-24.561386290589557</c:v>
                </c:pt>
                <c:pt idx="129">
                  <c:v>-24.462638459181125</c:v>
                </c:pt>
                <c:pt idx="130">
                  <c:v>-24.364387827518421</c:v>
                </c:pt>
                <c:pt idx="131">
                  <c:v>-24.266631079741973</c:v>
                </c:pt>
                <c:pt idx="132">
                  <c:v>-24.16936492782105</c:v>
                </c:pt>
                <c:pt idx="133">
                  <c:v>-24.072586111273012</c:v>
                </c:pt>
                <c:pt idx="134">
                  <c:v>-23.976291396886147</c:v>
                </c:pt>
                <c:pt idx="135">
                  <c:v>-23.880477578445635</c:v>
                </c:pt>
                <c:pt idx="136">
                  <c:v>-23.785141476462737</c:v>
                </c:pt>
                <c:pt idx="137">
                  <c:v>-23.690279937907238</c:v>
                </c:pt>
                <c:pt idx="138">
                  <c:v>-23.595889835942934</c:v>
                </c:pt>
                <c:pt idx="139">
                  <c:v>-23.501968069666265</c:v>
                </c:pt>
                <c:pt idx="140">
                  <c:v>-23.408511563847895</c:v>
                </c:pt>
                <c:pt idx="141">
                  <c:v>-23.31551726867745</c:v>
                </c:pt>
                <c:pt idx="142">
                  <c:v>-23.222982159511098</c:v>
                </c:pt>
                <c:pt idx="143">
                  <c:v>-23.130903236622107</c:v>
                </c:pt>
                <c:pt idx="144">
                  <c:v>-23.039277524954276</c:v>
                </c:pt>
                <c:pt idx="145">
                  <c:v>-22.948102073878175</c:v>
                </c:pt>
                <c:pt idx="146">
                  <c:v>-22.85737395695033</c:v>
                </c:pt>
                <c:pt idx="147">
                  <c:v>-22.767090271675038</c:v>
                </c:pt>
                <c:pt idx="148">
                  <c:v>-22.677248139268944</c:v>
                </c:pt>
                <c:pt idx="149">
                  <c:v>-22.587844704428402</c:v>
                </c:pt>
                <c:pt idx="150">
                  <c:v>-22.498877135099434</c:v>
                </c:pt>
                <c:pt idx="151">
                  <c:v>-22.410342622250305</c:v>
                </c:pt>
                <c:pt idx="152">
                  <c:v>-22.32223837964677</c:v>
                </c:pt>
                <c:pt idx="153">
                  <c:v>-22.234561643629824</c:v>
                </c:pt>
                <c:pt idx="154">
                  <c:v>-22.147309672895979</c:v>
                </c:pt>
                <c:pt idx="155">
                  <c:v>-22.060479748280059</c:v>
                </c:pt>
                <c:pt idx="156">
                  <c:v>-21.974069172540514</c:v>
                </c:pt>
                <c:pt idx="157">
                  <c:v>-21.888075270147006</c:v>
                </c:pt>
                <c:pt idx="158">
                  <c:v>-21.802495387070593</c:v>
                </c:pt>
                <c:pt idx="159">
                  <c:v>-21.717326890576146</c:v>
                </c:pt>
                <c:pt idx="160">
                  <c:v>-21.632567169017143</c:v>
                </c:pt>
                <c:pt idx="161">
                  <c:v>-21.54821363163277</c:v>
                </c:pt>
                <c:pt idx="162">
                  <c:v>-21.46426370834736</c:v>
                </c:pt>
                <c:pt idx="163">
                  <c:v>-21.380714849571987</c:v>
                </c:pt>
                <c:pt idx="164">
                  <c:v>-21.297564526008316</c:v>
                </c:pt>
                <c:pt idx="165">
                  <c:v>-21.214810228454684</c:v>
                </c:pt>
                <c:pt idx="166">
                  <c:v>-21.132449467614315</c:v>
                </c:pt>
                <c:pt idx="167">
                  <c:v>-21.050479773905643</c:v>
                </c:pt>
                <c:pt idx="168">
                  <c:v>-20.968898697274813</c:v>
                </c:pt>
                <c:pt idx="169">
                  <c:v>-20.887703807010212</c:v>
                </c:pt>
                <c:pt idx="170">
                  <c:v>-20.806892691559067</c:v>
                </c:pt>
                <c:pt idx="171">
                  <c:v>-20.726462958346097</c:v>
                </c:pt>
                <c:pt idx="172">
                  <c:v>-20.646412233594134</c:v>
                </c:pt>
                <c:pt idx="173">
                  <c:v>-20.566738162146738</c:v>
                </c:pt>
                <c:pt idx="174">
                  <c:v>-20.4874384072928</c:v>
                </c:pt>
                <c:pt idx="175">
                  <c:v>-20.408510650593048</c:v>
                </c:pt>
                <c:pt idx="176">
                  <c:v>-20.329952591708395</c:v>
                </c:pt>
                <c:pt idx="177">
                  <c:v>-20.251761948230318</c:v>
                </c:pt>
                <c:pt idx="178">
                  <c:v>-20.173936455512905</c:v>
                </c:pt>
                <c:pt idx="179">
                  <c:v>-20.096473866506965</c:v>
                </c:pt>
                <c:pt idx="180">
                  <c:v>-20.019371951595719</c:v>
                </c:pt>
                <c:pt idx="181">
                  <c:v>-19.942628498432441</c:v>
                </c:pt>
                <c:pt idx="182">
                  <c:v>-19.866241311779788</c:v>
                </c:pt>
                <c:pt idx="183">
                  <c:v>-19.790208213350898</c:v>
                </c:pt>
                <c:pt idx="184">
                  <c:v>-19.714527041652261</c:v>
                </c:pt>
                <c:pt idx="185">
                  <c:v>-19.639195651828143</c:v>
                </c:pt>
                <c:pt idx="186">
                  <c:v>-19.56421191550691</c:v>
                </c:pt>
                <c:pt idx="187">
                  <c:v>-19.48957372064881</c:v>
                </c:pt>
                <c:pt idx="188">
                  <c:v>-19.415278971395498</c:v>
                </c:pt>
                <c:pt idx="189">
                  <c:v>-19.341325587921194</c:v>
                </c:pt>
                <c:pt idx="190">
                  <c:v>-19.267711506285369</c:v>
                </c:pt>
                <c:pt idx="191">
                  <c:v>-19.194434678287035</c:v>
                </c:pt>
                <c:pt idx="192">
                  <c:v>-19.121493071320703</c:v>
                </c:pt>
                <c:pt idx="193">
                  <c:v>-19.048884668233669</c:v>
                </c:pt>
                <c:pt idx="194">
                  <c:v>-18.97660746718503</c:v>
                </c:pt>
                <c:pt idx="195">
                  <c:v>-18.904659481506066</c:v>
                </c:pt>
                <c:pt idx="196">
                  <c:v>-18.833038739562245</c:v>
                </c:pt>
                <c:pt idx="197">
                  <c:v>-18.761743284616461</c:v>
                </c:pt>
                <c:pt idx="198">
                  <c:v>-18.69077117469401</c:v>
                </c:pt>
                <c:pt idx="199">
                  <c:v>-18.620120482448815</c:v>
                </c:pt>
                <c:pt idx="200">
                  <c:v>-18.549789295031079</c:v>
                </c:pt>
                <c:pt idx="201">
                  <c:v>-18.479775713956432</c:v>
                </c:pt>
                <c:pt idx="202">
                  <c:v>-17.789435740793845</c:v>
                </c:pt>
                <c:pt idx="203">
                  <c:v>-17.129634874556441</c:v>
                </c:pt>
                <c:pt idx="204">
                  <c:v>-16.498618498026186</c:v>
                </c:pt>
                <c:pt idx="205">
                  <c:v>-15.894757904670696</c:v>
                </c:pt>
                <c:pt idx="206">
                  <c:v>-15.316539572079632</c:v>
                </c:pt>
                <c:pt idx="207">
                  <c:v>-14.762555490868595</c:v>
                </c:pt>
                <c:pt idx="208">
                  <c:v>-14.231494431674381</c:v>
                </c:pt>
                <c:pt idx="209">
                  <c:v>-13.72213404738401</c:v>
                </c:pt>
                <c:pt idx="210">
                  <c:v>-13.233333720285323</c:v>
                </c:pt>
                <c:pt idx="211">
                  <c:v>-12.764028074692355</c:v>
                </c:pt>
                <c:pt idx="212">
                  <c:v>-12.313221085027431</c:v>
                </c:pt>
                <c:pt idx="213">
                  <c:v>-11.879980717541693</c:v>
                </c:pt>
                <c:pt idx="214">
                  <c:v>-11.46343405099978</c:v>
                </c:pt>
                <c:pt idx="215">
                  <c:v>-11.062762827891286</c:v>
                </c:pt>
                <c:pt idx="216">
                  <c:v>-10.67719939318628</c:v>
                </c:pt>
                <c:pt idx="217">
                  <c:v>-10.306022982431521</c:v>
                </c:pt>
                <c:pt idx="218">
                  <c:v>-9.9485563251789841</c:v>
                </c:pt>
                <c:pt idx="219">
                  <c:v>-9.6041625334266829</c:v>
                </c:pt>
                <c:pt idx="220">
                  <c:v>-9.2722422480002784</c:v>
                </c:pt>
                <c:pt idx="221">
                  <c:v>-8.9522310186693677</c:v>
                </c:pt>
                <c:pt idx="222">
                  <c:v>-8.6435968963242971</c:v>
                </c:pt>
                <c:pt idx="223">
                  <c:v>-8.3458382177798232</c:v>
                </c:pt>
                <c:pt idx="224">
                  <c:v>-8.0584815657574307</c:v>
                </c:pt>
                <c:pt idx="225">
                  <c:v>-7.7810798883605061</c:v>
                </c:pt>
                <c:pt idx="226">
                  <c:v>-7.5132107639229755</c:v>
                </c:pt>
                <c:pt idx="227">
                  <c:v>-7.2544747985060836</c:v>
                </c:pt>
                <c:pt idx="228">
                  <c:v>-7.0044941445608018</c:v>
                </c:pt>
                <c:pt idx="229">
                  <c:v>-6.7629111303822089</c:v>
                </c:pt>
                <c:pt idx="230">
                  <c:v>-6.5293869909733333</c:v>
                </c:pt>
                <c:pt idx="231">
                  <c:v>-6.3036006918227407</c:v>
                </c:pt>
                <c:pt idx="232">
                  <c:v>-6.0852478378946069</c:v>
                </c:pt>
                <c:pt idx="233">
                  <c:v>-5.8740396608426657</c:v>
                </c:pt>
                <c:pt idx="234">
                  <c:v>-5.669702078099438</c:v>
                </c:pt>
                <c:pt idx="235">
                  <c:v>-5.4719748180675243</c:v>
                </c:pt>
                <c:pt idx="236">
                  <c:v>-5.2806106061577172</c:v>
                </c:pt>
                <c:pt idx="237">
                  <c:v>-5.0953744068855533</c:v>
                </c:pt>
                <c:pt idx="238">
                  <c:v>-4.9160427176587591</c:v>
                </c:pt>
                <c:pt idx="239">
                  <c:v>-4.7424029102685825</c:v>
                </c:pt>
                <c:pt idx="240">
                  <c:v>-4.5742526164415178</c:v>
                </c:pt>
                <c:pt idx="241">
                  <c:v>-4.4113991541192235</c:v>
                </c:pt>
                <c:pt idx="242">
                  <c:v>-4.2536589914161222</c:v>
                </c:pt>
                <c:pt idx="243">
                  <c:v>-4.1008572454597516</c:v>
                </c:pt>
                <c:pt idx="244">
                  <c:v>-3.9528272135508429</c:v>
                </c:pt>
                <c:pt idx="245">
                  <c:v>-3.8094099342908119</c:v>
                </c:pt>
                <c:pt idx="246">
                  <c:v>-3.6704537765159273</c:v>
                </c:pt>
                <c:pt idx="247">
                  <c:v>-3.535814054051809</c:v>
                </c:pt>
                <c:pt idx="248">
                  <c:v>-3.4053526644606982</c:v>
                </c:pt>
                <c:pt idx="249">
                  <c:v>-3.2789377500988084</c:v>
                </c:pt>
                <c:pt idx="250">
                  <c:v>-3.1564433799331848</c:v>
                </c:pt>
                <c:pt idx="251">
                  <c:v>-3.0377492506881119</c:v>
                </c:pt>
                <c:pt idx="252">
                  <c:v>-2.9227404060014588</c:v>
                </c:pt>
                <c:pt idx="253">
                  <c:v>-2.8113069723721691</c:v>
                </c:pt>
                <c:pt idx="254">
                  <c:v>-2.7033439107724031</c:v>
                </c:pt>
                <c:pt idx="255">
                  <c:v>-2.5987507828824348</c:v>
                </c:pt>
                <c:pt idx="256">
                  <c:v>-2.4974315309838513</c:v>
                </c:pt>
                <c:pt idx="257">
                  <c:v>-2.3992942706176916</c:v>
                </c:pt>
                <c:pt idx="258">
                  <c:v>-2.3042510951793753</c:v>
                </c:pt>
                <c:pt idx="259">
                  <c:v>-2.2122178916821427</c:v>
                </c:pt>
                <c:pt idx="260">
                  <c:v>-2.123114166975681</c:v>
                </c:pt>
                <c:pt idx="261">
                  <c:v>-2.0368628837572351</c:v>
                </c:pt>
                <c:pt idx="262">
                  <c:v>-1.9533903057588162</c:v>
                </c:pt>
                <c:pt idx="263">
                  <c:v>-1.8726258515369369</c:v>
                </c:pt>
                <c:pt idx="264">
                  <c:v>-1.7945019563304929</c:v>
                </c:pt>
                <c:pt idx="265">
                  <c:v>-1.7189539414884873</c:v>
                </c:pt>
                <c:pt idx="266">
                  <c:v>-1.6459198910024884</c:v>
                </c:pt>
                <c:pt idx="267">
                  <c:v>-1.5753405347091363</c:v>
                </c:pt>
                <c:pt idx="268">
                  <c:v>-1.507159137755961</c:v>
                </c:pt>
                <c:pt idx="269">
                  <c:v>-1.4413213959493913</c:v>
                </c:pt>
                <c:pt idx="270">
                  <c:v>-1.3777753366272429</c:v>
                </c:pt>
                <c:pt idx="271">
                  <c:v>-1.3164712247193715</c:v>
                </c:pt>
                <c:pt idx="272">
                  <c:v>-1.2573614736796068</c:v>
                </c:pt>
                <c:pt idx="273">
                  <c:v>-1.2004005609897075</c:v>
                </c:pt>
                <c:pt idx="274">
                  <c:v>-1.1455449479519475</c:v>
                </c:pt>
                <c:pt idx="275">
                  <c:v>-1.0927530035011321</c:v>
                </c:pt>
                <c:pt idx="276">
                  <c:v>-1.0419849317794008</c:v>
                </c:pt>
                <c:pt idx="277">
                  <c:v>-0.99320270322816939</c:v>
                </c:pt>
                <c:pt idx="278">
                  <c:v>-0.94636998896096824</c:v>
                </c:pt>
                <c:pt idx="279">
                  <c:v>-0.90145209818884409</c:v>
                </c:pt>
                <c:pt idx="280">
                  <c:v>-0.8584159184763116</c:v>
                </c:pt>
                <c:pt idx="281">
                  <c:v>-0.81722985861070141</c:v>
                </c:pt>
                <c:pt idx="282">
                  <c:v>-0.77786379387101312</c:v>
                </c:pt>
                <c:pt idx="283">
                  <c:v>-0.74028901348416243</c:v>
                </c:pt>
                <c:pt idx="284">
                  <c:v>-0.70447817005673963</c:v>
                </c:pt>
                <c:pt idx="285">
                  <c:v>-0.67040523076915315</c:v>
                </c:pt>
                <c:pt idx="286">
                  <c:v>-0.63804543011635007</c:v>
                </c:pt>
                <c:pt idx="287">
                  <c:v>-0.60737522397527832</c:v>
                </c:pt>
                <c:pt idx="288">
                  <c:v>-0.57837224477409621</c:v>
                </c:pt>
                <c:pt idx="289">
                  <c:v>-0.55101525753205349</c:v>
                </c:pt>
                <c:pt idx="290">
                  <c:v>-0.52528411653237228</c:v>
                </c:pt>
                <c:pt idx="291">
                  <c:v>-0.5011597223838401</c:v>
                </c:pt>
                <c:pt idx="292">
                  <c:v>-0.47862397922091987</c:v>
                </c:pt>
                <c:pt idx="293">
                  <c:v>-0.45765975178785645</c:v>
                </c:pt>
                <c:pt idx="294">
                  <c:v>-0.43825082215065286</c:v>
                </c:pt>
                <c:pt idx="295">
                  <c:v>-0.42038184578328036</c:v>
                </c:pt>
                <c:pt idx="296">
                  <c:v>-0.40403830678258484</c:v>
                </c:pt>
                <c:pt idx="297">
                  <c:v>-0.38920647198181962</c:v>
                </c:pt>
                <c:pt idx="298">
                  <c:v>-0.37587334375721915</c:v>
                </c:pt>
                <c:pt idx="299">
                  <c:v>-0.36402661135717967</c:v>
                </c:pt>
                <c:pt idx="300">
                  <c:v>-0.353654600630538</c:v>
                </c:pt>
                <c:pt idx="301">
                  <c:v>-0.34474622208970795</c:v>
                </c:pt>
                <c:pt idx="302">
                  <c:v>-0.33729091731556859</c:v>
                </c:pt>
                <c:pt idx="303">
                  <c:v>-0.33127860379229235</c:v>
                </c:pt>
                <c:pt idx="304">
                  <c:v>-0.32669961834869993</c:v>
                </c:pt>
                <c:pt idx="305">
                  <c:v>-0.32354465947370042</c:v>
                </c:pt>
                <c:pt idx="306">
                  <c:v>-0.32180472886131667</c:v>
                </c:pt>
                <c:pt idx="307">
                  <c:v>-0.32147107261937746</c:v>
                </c:pt>
                <c:pt idx="308">
                  <c:v>-0.3225351226389136</c:v>
                </c:pt>
                <c:pt idx="309">
                  <c:v>-0.32498843866320759</c:v>
                </c:pt>
                <c:pt idx="310">
                  <c:v>-0.32882265161254665</c:v>
                </c:pt>
                <c:pt idx="311">
                  <c:v>-0.33402940871143905</c:v>
                </c:pt>
                <c:pt idx="312">
                  <c:v>-0.3406003209303155</c:v>
                </c:pt>
                <c:pt idx="313">
                  <c:v>-0.34852691319678913</c:v>
                </c:pt>
                <c:pt idx="314">
                  <c:v>-0.35780057775749324</c:v>
                </c:pt>
                <c:pt idx="315">
                  <c:v>-0.3684125309865528</c:v>
                </c:pt>
                <c:pt idx="316">
                  <c:v>-0.38035377384730235</c:v>
                </c:pt>
                <c:pt idx="317">
                  <c:v>-0.39361505612595077</c:v>
                </c:pt>
                <c:pt idx="318">
                  <c:v>-0.40818684447434561</c:v>
                </c:pt>
                <c:pt idx="319">
                  <c:v>-0.42405929422739713</c:v>
                </c:pt>
                <c:pt idx="320">
                  <c:v>-0.44122222490111229</c:v>
                </c:pt>
                <c:pt idx="321">
                  <c:v>-0.45966509923035431</c:v>
                </c:pt>
                <c:pt idx="322">
                  <c:v>-0.47937700557104485</c:v>
                </c:pt>
                <c:pt idx="323">
                  <c:v>-0.50034664346852287</c:v>
                </c:pt>
                <c:pt idx="324">
                  <c:v>-0.52256231218060667</c:v>
                </c:pt>
                <c:pt idx="325">
                  <c:v>-0.5460119019388302</c:v>
                </c:pt>
                <c:pt idx="326">
                  <c:v>-0.5706828877326211</c:v>
                </c:pt>
                <c:pt idx="327">
                  <c:v>-0.59656232540718912</c:v>
                </c:pt>
                <c:pt idx="328">
                  <c:v>-0.62363684987521195</c:v>
                </c:pt>
                <c:pt idx="329">
                  <c:v>-0.65189267525382999</c:v>
                </c:pt>
                <c:pt idx="330">
                  <c:v>-0.68131559675107667</c:v>
                </c:pt>
                <c:pt idx="331">
                  <c:v>-0.71189099413890844</c:v>
                </c:pt>
                <c:pt idx="332">
                  <c:v>-0.74360383666297813</c:v>
                </c:pt>
                <c:pt idx="333">
                  <c:v>-0.77643868925179937</c:v>
                </c:pt>
                <c:pt idx="334">
                  <c:v>-0.81037971989977498</c:v>
                </c:pt>
                <c:pt idx="335">
                  <c:v>-0.8454107081095309</c:v>
                </c:pt>
                <c:pt idx="336">
                  <c:v>-0.88151505428908483</c:v>
                </c:pt>
                <c:pt idx="337">
                  <c:v>-0.91867579000850841</c:v>
                </c:pt>
                <c:pt idx="338">
                  <c:v>-0.95687558902901559</c:v>
                </c:pt>
                <c:pt idx="339">
                  <c:v>-0.99609677902480209</c:v>
                </c:pt>
                <c:pt idx="340">
                  <c:v>-1.0363213539245466</c:v>
                </c:pt>
                <c:pt idx="341">
                  <c:v>-1.0775309868054175</c:v>
                </c:pt>
                <c:pt idx="342">
                  <c:v>-1.1197070432776024</c:v>
                </c:pt>
                <c:pt idx="343">
                  <c:v>-1.1628305953020701</c:v>
                </c:pt>
                <c:pt idx="344">
                  <c:v>-1.2068824353883816</c:v>
                </c:pt>
                <c:pt idx="345">
                  <c:v>-1.2518430911230534</c:v>
                </c:pt>
                <c:pt idx="346">
                  <c:v>-1.2976928399822574</c:v>
                </c:pt>
                <c:pt idx="347">
                  <c:v>-1.3444117243855622</c:v>
                </c:pt>
                <c:pt idx="348">
                  <c:v>-1.3919795669500903</c:v>
                </c:pt>
                <c:pt idx="349">
                  <c:v>-1.4403759859067937</c:v>
                </c:pt>
                <c:pt idx="350">
                  <c:v>-1.4895804106427484</c:v>
                </c:pt>
                <c:pt idx="351">
                  <c:v>-1.5395720973353222</c:v>
                </c:pt>
                <c:pt idx="352">
                  <c:v>-1.5903301446458504</c:v>
                </c:pt>
                <c:pt idx="353">
                  <c:v>-1.6418335094421539</c:v>
                </c:pt>
                <c:pt idx="354">
                  <c:v>-1.6940610225207471</c:v>
                </c:pt>
                <c:pt idx="355">
                  <c:v>-1.7469914043010579</c:v>
                </c:pt>
                <c:pt idx="356">
                  <c:v>-1.800603280465304</c:v>
                </c:pt>
                <c:pt idx="357">
                  <c:v>-1.8548751975189941</c:v>
                </c:pt>
                <c:pt idx="358">
                  <c:v>-1.9097856382482388</c:v>
                </c:pt>
                <c:pt idx="359">
                  <c:v>-1.9653130370511893</c:v>
                </c:pt>
                <c:pt idx="360">
                  <c:v>-2.021435795122132</c:v>
                </c:pt>
                <c:pt idx="361">
                  <c:v>-2.0781322954677677</c:v>
                </c:pt>
                <c:pt idx="362">
                  <c:v>-2.1353809177363239</c:v>
                </c:pt>
                <c:pt idx="363">
                  <c:v>-2.1931600528411632</c:v>
                </c:pt>
                <c:pt idx="364">
                  <c:v>-2.2514481173615377</c:v>
                </c:pt>
                <c:pt idx="365">
                  <c:v>-2.3102235677041389</c:v>
                </c:pt>
                <c:pt idx="366">
                  <c:v>-2.3694649140100674</c:v>
                </c:pt>
                <c:pt idx="367">
                  <c:v>-2.4291507337927514</c:v>
                </c:pt>
                <c:pt idx="368">
                  <c:v>-2.4892596852933209</c:v>
                </c:pt>
                <c:pt idx="369">
                  <c:v>-2.5497705205408256</c:v>
                </c:pt>
                <c:pt idx="370">
                  <c:v>-2.6106620981055833</c:v>
                </c:pt>
                <c:pt idx="371">
                  <c:v>-2.6719133955348515</c:v>
                </c:pt>
                <c:pt idx="372">
                  <c:v>-2.7335035214608498</c:v>
                </c:pt>
                <c:pt idx="373">
                  <c:v>-2.7954117273720462</c:v>
                </c:pt>
                <c:pt idx="374">
                  <c:v>-2.8576174190394368</c:v>
                </c:pt>
                <c:pt idx="375">
                  <c:v>-2.9201001675903657</c:v>
                </c:pt>
                <c:pt idx="376">
                  <c:v>-2.9828397202232835</c:v>
                </c:pt>
                <c:pt idx="377">
                  <c:v>-3.0458160105575613</c:v>
                </c:pt>
                <c:pt idx="378">
                  <c:v>-3.109009168613301</c:v>
                </c:pt>
                <c:pt idx="379">
                  <c:v>-3.1723995304168642</c:v>
                </c:pt>
                <c:pt idx="380">
                  <c:v>-3.2359676472284575</c:v>
                </c:pt>
                <c:pt idx="381">
                  <c:v>-3.2996942943890213</c:v>
                </c:pt>
                <c:pt idx="382">
                  <c:v>-3.3635604797841672</c:v>
                </c:pt>
                <c:pt idx="383">
                  <c:v>-3.427547451923743</c:v>
                </c:pt>
                <c:pt idx="384">
                  <c:v>-3.4916367076361938</c:v>
                </c:pt>
                <c:pt idx="385">
                  <c:v>-3.5558099993775163</c:v>
                </c:pt>
                <c:pt idx="386">
                  <c:v>-3.6200493421552729</c:v>
                </c:pt>
                <c:pt idx="387">
                  <c:v>-3.6843370200686594</c:v>
                </c:pt>
                <c:pt idx="388">
                  <c:v>-3.7486555924662834</c:v>
                </c:pt>
                <c:pt idx="389">
                  <c:v>-3.8129878997237365</c:v>
                </c:pt>
                <c:pt idx="390">
                  <c:v>-3.877317068643702</c:v>
                </c:pt>
                <c:pt idx="391">
                  <c:v>-3.9416265174817462</c:v>
                </c:pt>
                <c:pt idx="392">
                  <c:v>-4.0058999606015018</c:v>
                </c:pt>
                <c:pt idx="393">
                  <c:v>-4.0701214127632861</c:v>
                </c:pt>
                <c:pt idx="394">
                  <c:v>-4.1342751930508186</c:v>
                </c:pt>
                <c:pt idx="395">
                  <c:v>-4.198345928440907</c:v>
                </c:pt>
                <c:pt idx="396">
                  <c:v>-4.2623185570215423</c:v>
                </c:pt>
                <c:pt idx="397">
                  <c:v>-4.3261783308640389</c:v>
                </c:pt>
                <c:pt idx="398">
                  <c:v>-4.3899108185553457</c:v>
                </c:pt>
                <c:pt idx="399">
                  <c:v>-4.4535019073968671</c:v>
                </c:pt>
                <c:pt idx="400">
                  <c:v>-4.5169378052764921</c:v>
                </c:pt>
                <c:pt idx="401">
                  <c:v>-4.5802050422207214</c:v>
                </c:pt>
                <c:pt idx="402">
                  <c:v>-4.6432904716341499</c:v>
                </c:pt>
                <c:pt idx="403">
                  <c:v>-4.7061812712336701</c:v>
                </c:pt>
                <c:pt idx="404">
                  <c:v>-4.7688649436850525</c:v>
                </c:pt>
                <c:pt idx="405">
                  <c:v>-4.83132931694968</c:v>
                </c:pt>
                <c:pt idx="406">
                  <c:v>-4.8935625443494457</c:v>
                </c:pt>
                <c:pt idx="407">
                  <c:v>-4.9555531043579011</c:v>
                </c:pt>
                <c:pt idx="408">
                  <c:v>-5.0172898001258988</c:v>
                </c:pt>
                <c:pt idx="409">
                  <c:v>-5.0787617587500646</c:v>
                </c:pt>
                <c:pt idx="410">
                  <c:v>-5.1399584302925811</c:v>
                </c:pt>
                <c:pt idx="411">
                  <c:v>-5.2008695865606906</c:v>
                </c:pt>
                <c:pt idx="412">
                  <c:v>-5.2614853196545521</c:v>
                </c:pt>
                <c:pt idx="413">
                  <c:v>-5.3217960402919813</c:v>
                </c:pt>
                <c:pt idx="414">
                  <c:v>-5.3817924759186839</c:v>
                </c:pt>
                <c:pt idx="415">
                  <c:v>-5.4414656686126266</c:v>
                </c:pt>
                <c:pt idx="416">
                  <c:v>-5.5008069727910538</c:v>
                </c:pt>
                <c:pt idx="417">
                  <c:v>-5.5598080527287799</c:v>
                </c:pt>
                <c:pt idx="418">
                  <c:v>-5.618460879896273</c:v>
                </c:pt>
                <c:pt idx="419">
                  <c:v>-5.6767577301259688</c:v>
                </c:pt>
                <c:pt idx="420">
                  <c:v>-5.734691180615231</c:v>
                </c:pt>
                <c:pt idx="421">
                  <c:v>-5.7922541067742932</c:v>
                </c:pt>
                <c:pt idx="422">
                  <c:v>-5.8494396789274257</c:v>
                </c:pt>
                <c:pt idx="423">
                  <c:v>-5.9062413588754508</c:v>
                </c:pt>
                <c:pt idx="424">
                  <c:v>-5.9626528963276204</c:v>
                </c:pt>
                <c:pt idx="425">
                  <c:v>-6.0186683252108617</c:v>
                </c:pt>
                <c:pt idx="426">
                  <c:v>-6.0742819598640265</c:v>
                </c:pt>
                <c:pt idx="427">
                  <c:v>-6.129488391124978</c:v>
                </c:pt>
                <c:pt idx="428">
                  <c:v>-6.1842824823178848</c:v>
                </c:pt>
                <c:pt idx="429">
                  <c:v>-6.2386593651481865</c:v>
                </c:pt>
                <c:pt idx="430">
                  <c:v>-6.2926144355124078</c:v>
                </c:pt>
                <c:pt idx="431">
                  <c:v>-6.3461433492298864</c:v>
                </c:pt>
                <c:pt idx="432">
                  <c:v>-6.3992420177033331</c:v>
                </c:pt>
                <c:pt idx="433">
                  <c:v>-6.4519066035149217</c:v>
                </c:pt>
                <c:pt idx="434">
                  <c:v>-6.5041335159644991</c:v>
                </c:pt>
                <c:pt idx="435">
                  <c:v>-6.5559194065562831</c:v>
                </c:pt>
                <c:pt idx="436">
                  <c:v>-6.607261164440283</c:v>
                </c:pt>
                <c:pt idx="437">
                  <c:v>-6.6581559118144291</c:v>
                </c:pt>
                <c:pt idx="438">
                  <c:v>-6.7086009992933162</c:v>
                </c:pt>
                <c:pt idx="439">
                  <c:v>-6.7585940012491745</c:v>
                </c:pt>
                <c:pt idx="440">
                  <c:v>-6.8081327111305985</c:v>
                </c:pt>
                <c:pt idx="441">
                  <c:v>-6.8572151367643013</c:v>
                </c:pt>
                <c:pt idx="442">
                  <c:v>-6.9058394956450257</c:v>
                </c:pt>
                <c:pt idx="443">
                  <c:v>-6.9540042102185371</c:v>
                </c:pt>
                <c:pt idx="444">
                  <c:v>-7.001707903162476</c:v>
                </c:pt>
                <c:pt idx="445">
                  <c:v>-7.0489493926695532</c:v>
                </c:pt>
                <c:pt idx="446">
                  <c:v>-7.0957276877375728</c:v>
                </c:pt>
                <c:pt idx="447">
                  <c:v>-7.1420419834704285</c:v>
                </c:pt>
                <c:pt idx="448">
                  <c:v>-7.1878916563940818</c:v>
                </c:pt>
                <c:pt idx="449">
                  <c:v>-7.2332762597914328</c:v>
                </c:pt>
                <c:pt idx="450">
                  <c:v>-7.2781955190596586</c:v>
                </c:pt>
                <c:pt idx="451">
                  <c:v>-7.3226493270936386</c:v>
                </c:pt>
                <c:pt idx="452">
                  <c:v>-7.3666377396986604</c:v>
                </c:pt>
                <c:pt idx="453">
                  <c:v>-7.4101609710356806</c:v>
                </c:pt>
                <c:pt idx="454">
                  <c:v>-7.4532193891020864</c:v>
                </c:pt>
                <c:pt idx="455">
                  <c:v>-7.4958135112507529</c:v>
                </c:pt>
                <c:pt idx="456">
                  <c:v>-7.5379439997501398</c:v>
                </c:pt>
                <c:pt idx="457">
                  <c:v>-7.5796116573879422</c:v>
                </c:pt>
                <c:pt idx="458">
                  <c:v>-7.6208174231205872</c:v>
                </c:pt>
                <c:pt idx="459">
                  <c:v>-7.661562367770876</c:v>
                </c:pt>
                <c:pt idx="460">
                  <c:v>-7.7018476897757973</c:v>
                </c:pt>
                <c:pt idx="461">
                  <c:v>-7.7416747109864756</c:v>
                </c:pt>
                <c:pt idx="462">
                  <c:v>-7.7810448725220365</c:v>
                </c:pt>
                <c:pt idx="463">
                  <c:v>-7.8199597306790194</c:v>
                </c:pt>
                <c:pt idx="464">
                  <c:v>-7.8584209528978981</c:v>
                </c:pt>
                <c:pt idx="465">
                  <c:v>-7.896430313788156</c:v>
                </c:pt>
                <c:pt idx="466">
                  <c:v>-7.9339896912130454</c:v>
                </c:pt>
                <c:pt idx="467">
                  <c:v>-7.9711010624354284</c:v>
                </c:pt>
                <c:pt idx="468">
                  <c:v>-8.007766500325479</c:v>
                </c:pt>
                <c:pt idx="469">
                  <c:v>-8.0439881696314099</c:v>
                </c:pt>
                <c:pt idx="470">
                  <c:v>-8.0797683233139121</c:v>
                </c:pt>
                <c:pt idx="471">
                  <c:v>-8.1151092989450966</c:v>
                </c:pt>
                <c:pt idx="472">
                  <c:v>-8.1500135151725281</c:v>
                </c:pt>
                <c:pt idx="473">
                  <c:v>-8.1844834682489118</c:v>
                </c:pt>
                <c:pt idx="474">
                  <c:v>-8.2185217286278611</c:v>
                </c:pt>
                <c:pt idx="475">
                  <c:v>-8.2521309376260401</c:v>
                </c:pt>
                <c:pt idx="476">
                  <c:v>-8.2853138041520751</c:v>
                </c:pt>
                <c:pt idx="477">
                  <c:v>-8.3180731015022733</c:v>
                </c:pt>
                <c:pt idx="478">
                  <c:v>-8.3504116642233139</c:v>
                </c:pt>
                <c:pt idx="479">
                  <c:v>-8.3823323850420177</c:v>
                </c:pt>
                <c:pt idx="480">
                  <c:v>-8.4138382118619912</c:v>
                </c:pt>
                <c:pt idx="481">
                  <c:v>-8.4449321448271881</c:v>
                </c:pt>
                <c:pt idx="482">
                  <c:v>-8.4756172334521445</c:v>
                </c:pt>
                <c:pt idx="483">
                  <c:v>-8.5058965738186512</c:v>
                </c:pt>
                <c:pt idx="484">
                  <c:v>-8.5357733058386334</c:v>
                </c:pt>
                <c:pt idx="485">
                  <c:v>-8.565250610582801</c:v>
                </c:pt>
                <c:pt idx="486">
                  <c:v>-8.5943317076747476</c:v>
                </c:pt>
                <c:pt idx="487">
                  <c:v>-8.6230198527500406</c:v>
                </c:pt>
                <c:pt idx="488">
                  <c:v>-8.651318334979754</c:v>
                </c:pt>
                <c:pt idx="489">
                  <c:v>-8.6792304746580182</c:v>
                </c:pt>
                <c:pt idx="490">
                  <c:v>-8.7067596208528784</c:v>
                </c:pt>
                <c:pt idx="491">
                  <c:v>-8.7339091491199703</c:v>
                </c:pt>
                <c:pt idx="492">
                  <c:v>-8.7606824592782928</c:v>
                </c:pt>
                <c:pt idx="493">
                  <c:v>-8.7870829732473918</c:v>
                </c:pt>
                <c:pt idx="494">
                  <c:v>-8.8131141329453389</c:v>
                </c:pt>
                <c:pt idx="495">
                  <c:v>-8.8387793982465883</c:v>
                </c:pt>
                <c:pt idx="496">
                  <c:v>-8.864082244999187</c:v>
                </c:pt>
                <c:pt idx="497">
                  <c:v>-8.8890261631002883</c:v>
                </c:pt>
                <c:pt idx="498">
                  <c:v>-8.9136146546293666</c:v>
                </c:pt>
                <c:pt idx="499">
                  <c:v>-8.9378512320381631</c:v>
                </c:pt>
                <c:pt idx="500">
                  <c:v>-8.9617394163966519</c:v>
                </c:pt>
                <c:pt idx="501">
                  <c:v>-8.9852827356939944</c:v>
                </c:pt>
                <c:pt idx="502">
                  <c:v>-9.0084847231937335</c:v>
                </c:pt>
                <c:pt idx="503">
                  <c:v>-9.0313489158422868</c:v>
                </c:pt>
                <c:pt idx="504">
                  <c:v>-9.053878852729861</c:v>
                </c:pt>
                <c:pt idx="505">
                  <c:v>-9.0760780736028135</c:v>
                </c:pt>
                <c:pt idx="506">
                  <c:v>-9.0979501174266204</c:v>
                </c:pt>
                <c:pt idx="507">
                  <c:v>-9.1194985209984907</c:v>
                </c:pt>
                <c:pt idx="508">
                  <c:v>-9.1407268176086607</c:v>
                </c:pt>
                <c:pt idx="509">
                  <c:v>-9.1616385357495158</c:v>
                </c:pt>
                <c:pt idx="510">
                  <c:v>-9.1822371978715136</c:v>
                </c:pt>
                <c:pt idx="511">
                  <c:v>-9.2025263191850275</c:v>
                </c:pt>
                <c:pt idx="512">
                  <c:v>-9.2225094065071662</c:v>
                </c:pt>
                <c:pt idx="513">
                  <c:v>-9.2421899571525667</c:v>
                </c:pt>
                <c:pt idx="514">
                  <c:v>-9.2615714578673654</c:v>
                </c:pt>
                <c:pt idx="515">
                  <c:v>-9.2806573838052149</c:v>
                </c:pt>
                <c:pt idx="516">
                  <c:v>-9.2994511975446219</c:v>
                </c:pt>
                <c:pt idx="517">
                  <c:v>-9.3179563481465149</c:v>
                </c:pt>
                <c:pt idx="518">
                  <c:v>-9.3179745470115591</c:v>
                </c:pt>
                <c:pt idx="519">
                  <c:v>-9.317992745596186</c:v>
                </c:pt>
                <c:pt idx="520">
                  <c:v>-9.3180109439004166</c:v>
                </c:pt>
                <c:pt idx="521">
                  <c:v>-9.318029141924244</c:v>
                </c:pt>
                <c:pt idx="522">
                  <c:v>-9.3180473396676646</c:v>
                </c:pt>
                <c:pt idx="523">
                  <c:v>-9.3180655371306944</c:v>
                </c:pt>
                <c:pt idx="524">
                  <c:v>-9.3180837343133387</c:v>
                </c:pt>
                <c:pt idx="525">
                  <c:v>-9.3181019312155833</c:v>
                </c:pt>
                <c:pt idx="526">
                  <c:v>-9.318120127837453</c:v>
                </c:pt>
                <c:pt idx="527">
                  <c:v>-9.3181383241789337</c:v>
                </c:pt>
                <c:pt idx="528">
                  <c:v>-9.3181565202400414</c:v>
                </c:pt>
                <c:pt idx="529">
                  <c:v>-9.3181747160207689</c:v>
                </c:pt>
                <c:pt idx="530">
                  <c:v>-9.3181929115211215</c:v>
                </c:pt>
                <c:pt idx="531">
                  <c:v>-9.3182111067411135</c:v>
                </c:pt>
                <c:pt idx="532">
                  <c:v>-9.318229301680736</c:v>
                </c:pt>
                <c:pt idx="533">
                  <c:v>-9.3182474963400015</c:v>
                </c:pt>
                <c:pt idx="534">
                  <c:v>-9.318265690718901</c:v>
                </c:pt>
                <c:pt idx="535">
                  <c:v>-9.3182838848174452</c:v>
                </c:pt>
                <c:pt idx="536">
                  <c:v>-9.3183020786356536</c:v>
                </c:pt>
                <c:pt idx="537">
                  <c:v>-9.3183202721734908</c:v>
                </c:pt>
                <c:pt idx="538">
                  <c:v>-9.3183384654309958</c:v>
                </c:pt>
                <c:pt idx="539">
                  <c:v>-9.3183566584081561</c:v>
                </c:pt>
                <c:pt idx="540">
                  <c:v>-9.3183748511049753</c:v>
                </c:pt>
                <c:pt idx="541">
                  <c:v>-9.3183930435214659</c:v>
                </c:pt>
                <c:pt idx="542">
                  <c:v>-9.318411235657619</c:v>
                </c:pt>
                <c:pt idx="543">
                  <c:v>-9.3184294275134487</c:v>
                </c:pt>
                <c:pt idx="544">
                  <c:v>-9.3184476190889463</c:v>
                </c:pt>
                <c:pt idx="545">
                  <c:v>-9.3184658103841276</c:v>
                </c:pt>
                <c:pt idx="546">
                  <c:v>-9.3184840013989874</c:v>
                </c:pt>
                <c:pt idx="547">
                  <c:v>-9.3185021921335345</c:v>
                </c:pt>
                <c:pt idx="548">
                  <c:v>-9.3185203825877689</c:v>
                </c:pt>
                <c:pt idx="549">
                  <c:v>-9.3185385727616943</c:v>
                </c:pt>
                <c:pt idx="550">
                  <c:v>-9.3185567626553141</c:v>
                </c:pt>
                <c:pt idx="551">
                  <c:v>-9.3185749522686336</c:v>
                </c:pt>
                <c:pt idx="552">
                  <c:v>-9.3185931416016619</c:v>
                </c:pt>
                <c:pt idx="553">
                  <c:v>-9.3186113306543863</c:v>
                </c:pt>
                <c:pt idx="554">
                  <c:v>-9.3186295194268212</c:v>
                </c:pt>
                <c:pt idx="555">
                  <c:v>-9.3186477079189647</c:v>
                </c:pt>
                <c:pt idx="556">
                  <c:v>-9.3186658961308311</c:v>
                </c:pt>
                <c:pt idx="557">
                  <c:v>-9.3186840840624097</c:v>
                </c:pt>
                <c:pt idx="558">
                  <c:v>-9.3187022717137147</c:v>
                </c:pt>
                <c:pt idx="559">
                  <c:v>-9.318720459084739</c:v>
                </c:pt>
                <c:pt idx="560">
                  <c:v>-9.3187386461754969</c:v>
                </c:pt>
                <c:pt idx="561">
                  <c:v>-9.3187568329859829</c:v>
                </c:pt>
                <c:pt idx="562">
                  <c:v>-9.318775019516206</c:v>
                </c:pt>
                <c:pt idx="563">
                  <c:v>-9.3187932057661662</c:v>
                </c:pt>
                <c:pt idx="564">
                  <c:v>-9.3188113917358688</c:v>
                </c:pt>
                <c:pt idx="565">
                  <c:v>-9.3188295774253156</c:v>
                </c:pt>
                <c:pt idx="566">
                  <c:v>-9.3188477628345137</c:v>
                </c:pt>
                <c:pt idx="567">
                  <c:v>-9.3188659479634595</c:v>
                </c:pt>
                <c:pt idx="568">
                  <c:v>-9.3188841328121672</c:v>
                </c:pt>
                <c:pt idx="569">
                  <c:v>-9.3189023173806298</c:v>
                </c:pt>
                <c:pt idx="570">
                  <c:v>-9.3189205016688508</c:v>
                </c:pt>
                <c:pt idx="571">
                  <c:v>-9.3189386856768426</c:v>
                </c:pt>
                <c:pt idx="572">
                  <c:v>-9.3189568694045946</c:v>
                </c:pt>
                <c:pt idx="573">
                  <c:v>-9.3189750528521298</c:v>
                </c:pt>
                <c:pt idx="574">
                  <c:v>-9.3189932360194359</c:v>
                </c:pt>
                <c:pt idx="575">
                  <c:v>-9.3190114189065199</c:v>
                </c:pt>
                <c:pt idx="576">
                  <c:v>-9.3190296015133853</c:v>
                </c:pt>
                <c:pt idx="577">
                  <c:v>-9.3190477838400376</c:v>
                </c:pt>
                <c:pt idx="578">
                  <c:v>-9.3190659658864767</c:v>
                </c:pt>
                <c:pt idx="579">
                  <c:v>-9.3190841476527062</c:v>
                </c:pt>
                <c:pt idx="580">
                  <c:v>-9.3191023291387349</c:v>
                </c:pt>
                <c:pt idx="581">
                  <c:v>-9.3191205103445647</c:v>
                </c:pt>
                <c:pt idx="582">
                  <c:v>-9.3191386912701901</c:v>
                </c:pt>
                <c:pt idx="583">
                  <c:v>-9.3191568719156237</c:v>
                </c:pt>
                <c:pt idx="584">
                  <c:v>-9.319175052280869</c:v>
                </c:pt>
                <c:pt idx="585">
                  <c:v>-9.3191932323659259</c:v>
                </c:pt>
                <c:pt idx="586">
                  <c:v>-9.319211412170791</c:v>
                </c:pt>
                <c:pt idx="587">
                  <c:v>-9.3192295916954802</c:v>
                </c:pt>
                <c:pt idx="588">
                  <c:v>-9.3192477709399917</c:v>
                </c:pt>
                <c:pt idx="589">
                  <c:v>-9.3192659499043327</c:v>
                </c:pt>
                <c:pt idx="590">
                  <c:v>-9.319284128588496</c:v>
                </c:pt>
                <c:pt idx="591">
                  <c:v>-9.3193023069924941</c:v>
                </c:pt>
                <c:pt idx="592">
                  <c:v>-9.3193204851163252</c:v>
                </c:pt>
                <c:pt idx="593">
                  <c:v>-9.3193386629599999</c:v>
                </c:pt>
                <c:pt idx="594">
                  <c:v>-9.319356840523513</c:v>
                </c:pt>
                <c:pt idx="595">
                  <c:v>-9.3193750178068733</c:v>
                </c:pt>
                <c:pt idx="596">
                  <c:v>-9.319393194810079</c:v>
                </c:pt>
                <c:pt idx="597">
                  <c:v>-9.3194113715331426</c:v>
                </c:pt>
                <c:pt idx="598">
                  <c:v>-9.3194295479760569</c:v>
                </c:pt>
                <c:pt idx="599">
                  <c:v>-9.3194477241388327</c:v>
                </c:pt>
                <c:pt idx="600">
                  <c:v>-9.3194659000214717</c:v>
                </c:pt>
                <c:pt idx="601">
                  <c:v>-9.3194840756239703</c:v>
                </c:pt>
                <c:pt idx="602">
                  <c:v>-9.3195022509463463</c:v>
                </c:pt>
                <c:pt idx="603">
                  <c:v>-9.3195204259885891</c:v>
                </c:pt>
                <c:pt idx="604">
                  <c:v>-9.3195386007507111</c:v>
                </c:pt>
                <c:pt idx="605">
                  <c:v>-9.3195567752327086</c:v>
                </c:pt>
                <c:pt idx="606">
                  <c:v>-9.3195749494345907</c:v>
                </c:pt>
                <c:pt idx="607">
                  <c:v>-9.3195931233563609</c:v>
                </c:pt>
                <c:pt idx="608">
                  <c:v>-9.3196112969980121</c:v>
                </c:pt>
                <c:pt idx="609">
                  <c:v>-9.3196294703595601</c:v>
                </c:pt>
                <c:pt idx="610">
                  <c:v>-9.3196476434410034</c:v>
                </c:pt>
                <c:pt idx="611">
                  <c:v>-9.3196658162423489</c:v>
                </c:pt>
                <c:pt idx="612">
                  <c:v>-9.3196839887635932</c:v>
                </c:pt>
                <c:pt idx="613">
                  <c:v>-9.3197021610047486</c:v>
                </c:pt>
                <c:pt idx="614">
                  <c:v>-9.3197203329658134</c:v>
                </c:pt>
                <c:pt idx="615">
                  <c:v>-9.3197385046467822</c:v>
                </c:pt>
                <c:pt idx="616">
                  <c:v>-9.3197566760476729</c:v>
                </c:pt>
                <c:pt idx="617">
                  <c:v>-9.3197748471684836</c:v>
                </c:pt>
                <c:pt idx="618">
                  <c:v>-9.3197930180092161</c:v>
                </c:pt>
                <c:pt idx="619">
                  <c:v>-9.3198111885698687</c:v>
                </c:pt>
                <c:pt idx="620">
                  <c:v>-9.3198293588504573</c:v>
                </c:pt>
                <c:pt idx="621">
                  <c:v>-9.3198475288509766</c:v>
                </c:pt>
                <c:pt idx="622">
                  <c:v>-9.3198656985714301</c:v>
                </c:pt>
                <c:pt idx="623">
                  <c:v>-9.319883868011825</c:v>
                </c:pt>
                <c:pt idx="624">
                  <c:v>-9.3199020371721595</c:v>
                </c:pt>
                <c:pt idx="625">
                  <c:v>-9.3199202060524406</c:v>
                </c:pt>
                <c:pt idx="626">
                  <c:v>-9.3199383746526756</c:v>
                </c:pt>
                <c:pt idx="627">
                  <c:v>-9.319956542972859</c:v>
                </c:pt>
                <c:pt idx="628">
                  <c:v>-9.319974711012998</c:v>
                </c:pt>
                <c:pt idx="629">
                  <c:v>-9.3199928787730943</c:v>
                </c:pt>
                <c:pt idx="630">
                  <c:v>-9.3200110462531569</c:v>
                </c:pt>
                <c:pt idx="631">
                  <c:v>-9.3200292134531875</c:v>
                </c:pt>
                <c:pt idx="632">
                  <c:v>-9.3200473803731878</c:v>
                </c:pt>
                <c:pt idx="633">
                  <c:v>-9.3200655470131544</c:v>
                </c:pt>
                <c:pt idx="634">
                  <c:v>-9.3200837133731014</c:v>
                </c:pt>
                <c:pt idx="635">
                  <c:v>-9.3201018794530235</c:v>
                </c:pt>
                <c:pt idx="636">
                  <c:v>-9.3201200452529367</c:v>
                </c:pt>
                <c:pt idx="637">
                  <c:v>-9.320138210772825</c:v>
                </c:pt>
                <c:pt idx="638">
                  <c:v>-9.3201563760127115</c:v>
                </c:pt>
                <c:pt idx="639">
                  <c:v>-9.3201745409725909</c:v>
                </c:pt>
                <c:pt idx="640">
                  <c:v>-9.3201927056524578</c:v>
                </c:pt>
                <c:pt idx="641">
                  <c:v>-9.3202108700523265</c:v>
                </c:pt>
                <c:pt idx="642">
                  <c:v>-9.3202290341722041</c:v>
                </c:pt>
                <c:pt idx="643">
                  <c:v>-9.3202471980120833</c:v>
                </c:pt>
                <c:pt idx="644">
                  <c:v>-9.320265361571975</c:v>
                </c:pt>
                <c:pt idx="645">
                  <c:v>-9.3202835248518774</c:v>
                </c:pt>
                <c:pt idx="646">
                  <c:v>-9.3203016878517957</c:v>
                </c:pt>
                <c:pt idx="647">
                  <c:v>-9.32031985057173</c:v>
                </c:pt>
                <c:pt idx="648">
                  <c:v>-9.3203380130116926</c:v>
                </c:pt>
                <c:pt idx="649">
                  <c:v>-9.3203561751716837</c:v>
                </c:pt>
                <c:pt idx="650">
                  <c:v>-9.3203743370516943</c:v>
                </c:pt>
                <c:pt idx="651">
                  <c:v>-9.3203924986517492</c:v>
                </c:pt>
                <c:pt idx="652">
                  <c:v>-9.3204106599718326</c:v>
                </c:pt>
                <c:pt idx="653">
                  <c:v>-9.3204288210119586</c:v>
                </c:pt>
                <c:pt idx="654">
                  <c:v>-9.3204469817721236</c:v>
                </c:pt>
                <c:pt idx="655">
                  <c:v>-9.3204651422523419</c:v>
                </c:pt>
                <c:pt idx="656">
                  <c:v>-9.3204833024526046</c:v>
                </c:pt>
                <c:pt idx="657">
                  <c:v>-9.3205014623729223</c:v>
                </c:pt>
                <c:pt idx="658">
                  <c:v>-9.3205196220132933</c:v>
                </c:pt>
                <c:pt idx="659">
                  <c:v>-9.3205377813737247</c:v>
                </c:pt>
                <c:pt idx="660">
                  <c:v>-9.3205559404542253</c:v>
                </c:pt>
                <c:pt idx="661">
                  <c:v>-9.3205740992547863</c:v>
                </c:pt>
                <c:pt idx="662">
                  <c:v>-9.3205922577754183</c:v>
                </c:pt>
                <c:pt idx="663">
                  <c:v>-9.3206104160161196</c:v>
                </c:pt>
                <c:pt idx="664">
                  <c:v>-9.3206285739769008</c:v>
                </c:pt>
                <c:pt idx="665">
                  <c:v>-9.3206467316577637</c:v>
                </c:pt>
                <c:pt idx="666">
                  <c:v>-9.3206648890587029</c:v>
                </c:pt>
                <c:pt idx="667">
                  <c:v>-9.3206830461797381</c:v>
                </c:pt>
                <c:pt idx="668">
                  <c:v>-9.3207012030208531</c:v>
                </c:pt>
                <c:pt idx="669">
                  <c:v>-9.3207193595820694</c:v>
                </c:pt>
                <c:pt idx="670">
                  <c:v>-9.3207375158633781</c:v>
                </c:pt>
                <c:pt idx="671">
                  <c:v>-9.3207556718647862</c:v>
                </c:pt>
                <c:pt idx="672">
                  <c:v>-9.3207738275863026</c:v>
                </c:pt>
                <c:pt idx="673">
                  <c:v>-9.3207919830279202</c:v>
                </c:pt>
                <c:pt idx="674">
                  <c:v>-9.3208101381896462</c:v>
                </c:pt>
                <c:pt idx="675">
                  <c:v>-9.320828293071493</c:v>
                </c:pt>
                <c:pt idx="676">
                  <c:v>-9.3208464476734498</c:v>
                </c:pt>
                <c:pt idx="677">
                  <c:v>-9.3208646019955257</c:v>
                </c:pt>
                <c:pt idx="678">
                  <c:v>-9.3208827560377276</c:v>
                </c:pt>
                <c:pt idx="679">
                  <c:v>-9.3209009098000539</c:v>
                </c:pt>
                <c:pt idx="680">
                  <c:v>-9.3209190632825152</c:v>
                </c:pt>
                <c:pt idx="681">
                  <c:v>-9.3209372164851025</c:v>
                </c:pt>
                <c:pt idx="682">
                  <c:v>-9.3209553694078284</c:v>
                </c:pt>
                <c:pt idx="683">
                  <c:v>-9.3209735220506946</c:v>
                </c:pt>
                <c:pt idx="684">
                  <c:v>-9.3209916744137047</c:v>
                </c:pt>
                <c:pt idx="685">
                  <c:v>-9.3210098264968639</c:v>
                </c:pt>
                <c:pt idx="686">
                  <c:v>-9.3210279783001706</c:v>
                </c:pt>
                <c:pt idx="687">
                  <c:v>-9.3210461298236336</c:v>
                </c:pt>
                <c:pt idx="688">
                  <c:v>-9.3210642810672475</c:v>
                </c:pt>
                <c:pt idx="689">
                  <c:v>-9.321082432031023</c:v>
                </c:pt>
                <c:pt idx="690">
                  <c:v>-9.3211005827149602</c:v>
                </c:pt>
                <c:pt idx="691">
                  <c:v>-9.3211187331190715</c:v>
                </c:pt>
                <c:pt idx="692">
                  <c:v>-9.3211368832433443</c:v>
                </c:pt>
                <c:pt idx="693">
                  <c:v>-9.3211550330877984</c:v>
                </c:pt>
                <c:pt idx="694">
                  <c:v>-9.3211731826524211</c:v>
                </c:pt>
                <c:pt idx="695">
                  <c:v>-9.321191331937225</c:v>
                </c:pt>
                <c:pt idx="696">
                  <c:v>-9.3212094809422155</c:v>
                </c:pt>
                <c:pt idx="697">
                  <c:v>-9.3212276296673924</c:v>
                </c:pt>
                <c:pt idx="698">
                  <c:v>-9.3212457781127593</c:v>
                </c:pt>
                <c:pt idx="699">
                  <c:v>-9.3212639262783199</c:v>
                </c:pt>
                <c:pt idx="700">
                  <c:v>-9.3212820741640758</c:v>
                </c:pt>
                <c:pt idx="701">
                  <c:v>-9.3213002217700325</c:v>
                </c:pt>
                <c:pt idx="702">
                  <c:v>-9.3213183690961952</c:v>
                </c:pt>
                <c:pt idx="703">
                  <c:v>-9.3213365161425603</c:v>
                </c:pt>
                <c:pt idx="704">
                  <c:v>-9.3213546629091351</c:v>
                </c:pt>
                <c:pt idx="705">
                  <c:v>-9.3213728093959212</c:v>
                </c:pt>
                <c:pt idx="706">
                  <c:v>-9.3213909556029364</c:v>
                </c:pt>
                <c:pt idx="707">
                  <c:v>-9.321409101530163</c:v>
                </c:pt>
                <c:pt idx="708">
                  <c:v>-9.3214272471776081</c:v>
                </c:pt>
                <c:pt idx="709">
                  <c:v>-9.3214453925452823</c:v>
                </c:pt>
                <c:pt idx="710">
                  <c:v>-9.3214635376331945</c:v>
                </c:pt>
                <c:pt idx="711">
                  <c:v>-9.3214816824413376</c:v>
                </c:pt>
                <c:pt idx="712">
                  <c:v>-9.3214998269697134</c:v>
                </c:pt>
                <c:pt idx="713">
                  <c:v>-9.3215179712183289</c:v>
                </c:pt>
                <c:pt idx="714">
                  <c:v>-9.3215361151871932</c:v>
                </c:pt>
                <c:pt idx="715">
                  <c:v>-9.3215542588763007</c:v>
                </c:pt>
                <c:pt idx="716">
                  <c:v>-9.3215724022856588</c:v>
                </c:pt>
                <c:pt idx="717">
                  <c:v>-9.3215905454152672</c:v>
                </c:pt>
                <c:pt idx="718">
                  <c:v>-9.3216086882651386</c:v>
                </c:pt>
                <c:pt idx="719">
                  <c:v>-9.3216268308352674</c:v>
                </c:pt>
                <c:pt idx="720">
                  <c:v>-9.321644973125661</c:v>
                </c:pt>
                <c:pt idx="721">
                  <c:v>-9.3216631151363192</c:v>
                </c:pt>
                <c:pt idx="722">
                  <c:v>-9.3216812568672527</c:v>
                </c:pt>
                <c:pt idx="723">
                  <c:v>-9.3216993983184526</c:v>
                </c:pt>
                <c:pt idx="724">
                  <c:v>-9.321717539489935</c:v>
                </c:pt>
                <c:pt idx="725">
                  <c:v>-9.3217356803817015</c:v>
                </c:pt>
                <c:pt idx="726">
                  <c:v>-9.3217538209937452</c:v>
                </c:pt>
                <c:pt idx="727">
                  <c:v>-9.3217719613260783</c:v>
                </c:pt>
                <c:pt idx="728">
                  <c:v>-9.3217901013786957</c:v>
                </c:pt>
                <c:pt idx="729">
                  <c:v>-9.321808241151615</c:v>
                </c:pt>
                <c:pt idx="730">
                  <c:v>-9.3218263806448238</c:v>
                </c:pt>
                <c:pt idx="731">
                  <c:v>-9.3218445198583417</c:v>
                </c:pt>
                <c:pt idx="732">
                  <c:v>-9.321862658792158</c:v>
                </c:pt>
                <c:pt idx="733">
                  <c:v>-9.3218807974462763</c:v>
                </c:pt>
                <c:pt idx="734">
                  <c:v>-9.3218989358207143</c:v>
                </c:pt>
                <c:pt idx="735">
                  <c:v>-9.3219170739154578</c:v>
                </c:pt>
                <c:pt idx="736">
                  <c:v>-9.3219352117305281</c:v>
                </c:pt>
                <c:pt idx="737">
                  <c:v>-9.321953349265911</c:v>
                </c:pt>
                <c:pt idx="738">
                  <c:v>-9.321971486521619</c:v>
                </c:pt>
                <c:pt idx="739">
                  <c:v>-9.3219896234976538</c:v>
                </c:pt>
                <c:pt idx="740">
                  <c:v>-9.3220077601940226</c:v>
                </c:pt>
                <c:pt idx="741">
                  <c:v>-9.3220258966107217</c:v>
                </c:pt>
                <c:pt idx="742">
                  <c:v>-9.3220440327477601</c:v>
                </c:pt>
                <c:pt idx="743">
                  <c:v>-9.3220621686051395</c:v>
                </c:pt>
                <c:pt idx="744">
                  <c:v>-9.3220803041828635</c:v>
                </c:pt>
                <c:pt idx="745">
                  <c:v>-9.3220984394809321</c:v>
                </c:pt>
                <c:pt idx="746">
                  <c:v>-9.3221165744993471</c:v>
                </c:pt>
                <c:pt idx="747">
                  <c:v>-9.3221347092381208</c:v>
                </c:pt>
                <c:pt idx="748">
                  <c:v>-9.3221528436972516</c:v>
                </c:pt>
                <c:pt idx="749">
                  <c:v>-9.3221709778767465</c:v>
                </c:pt>
                <c:pt idx="750">
                  <c:v>-9.3221891117766003</c:v>
                </c:pt>
                <c:pt idx="751">
                  <c:v>-9.3222072453968217</c:v>
                </c:pt>
                <c:pt idx="752">
                  <c:v>-9.3222253787374125</c:v>
                </c:pt>
                <c:pt idx="753">
                  <c:v>-9.32224351179838</c:v>
                </c:pt>
                <c:pt idx="754">
                  <c:v>-9.3222616445797257</c:v>
                </c:pt>
                <c:pt idx="755">
                  <c:v>-9.3222797770814498</c:v>
                </c:pt>
                <c:pt idx="756">
                  <c:v>-9.3222979093035576</c:v>
                </c:pt>
                <c:pt idx="757">
                  <c:v>-9.3223160412460544</c:v>
                </c:pt>
                <c:pt idx="758">
                  <c:v>-9.3223341729089437</c:v>
                </c:pt>
                <c:pt idx="759">
                  <c:v>-9.3223523042922221</c:v>
                </c:pt>
                <c:pt idx="760">
                  <c:v>-9.3223704353958965</c:v>
                </c:pt>
                <c:pt idx="761">
                  <c:v>-9.3223885662199759</c:v>
                </c:pt>
                <c:pt idx="762">
                  <c:v>-9.3224066967644585</c:v>
                </c:pt>
                <c:pt idx="763">
                  <c:v>-9.3224248270293462</c:v>
                </c:pt>
                <c:pt idx="764">
                  <c:v>-9.3224429570146476</c:v>
                </c:pt>
                <c:pt idx="765">
                  <c:v>-9.322461086720363</c:v>
                </c:pt>
                <c:pt idx="766">
                  <c:v>-9.322479216146494</c:v>
                </c:pt>
                <c:pt idx="767">
                  <c:v>-9.3224973452930442</c:v>
                </c:pt>
                <c:pt idx="768">
                  <c:v>-9.3225154741600225</c:v>
                </c:pt>
                <c:pt idx="769">
                  <c:v>-9.3225336027474235</c:v>
                </c:pt>
                <c:pt idx="770">
                  <c:v>-9.3225517310552579</c:v>
                </c:pt>
                <c:pt idx="771">
                  <c:v>-9.3225698590835275</c:v>
                </c:pt>
                <c:pt idx="772">
                  <c:v>-9.3225879868322323</c:v>
                </c:pt>
                <c:pt idx="773">
                  <c:v>-9.3226061143013794</c:v>
                </c:pt>
                <c:pt idx="774">
                  <c:v>-9.3226242414909724</c:v>
                </c:pt>
                <c:pt idx="775">
                  <c:v>-9.3226423684010093</c:v>
                </c:pt>
                <c:pt idx="776">
                  <c:v>-9.3226604950314957</c:v>
                </c:pt>
                <c:pt idx="777">
                  <c:v>-9.3226786213824404</c:v>
                </c:pt>
                <c:pt idx="778">
                  <c:v>-9.3226967474538398</c:v>
                </c:pt>
                <c:pt idx="779">
                  <c:v>-9.322714873245701</c:v>
                </c:pt>
                <c:pt idx="780">
                  <c:v>-9.3227329987580259</c:v>
                </c:pt>
                <c:pt idx="781">
                  <c:v>-9.322751123990825</c:v>
                </c:pt>
                <c:pt idx="782">
                  <c:v>-9.3227692489440859</c:v>
                </c:pt>
                <c:pt idx="783">
                  <c:v>-9.3227873736178211</c:v>
                </c:pt>
                <c:pt idx="784">
                  <c:v>-9.3228054980120394</c:v>
                </c:pt>
                <c:pt idx="785">
                  <c:v>-9.3228236221267338</c:v>
                </c:pt>
                <c:pt idx="786">
                  <c:v>-9.3228417459619131</c:v>
                </c:pt>
                <c:pt idx="787">
                  <c:v>-9.3228598695175808</c:v>
                </c:pt>
                <c:pt idx="788">
                  <c:v>-9.3228779927937424</c:v>
                </c:pt>
                <c:pt idx="789">
                  <c:v>-9.322896115790396</c:v>
                </c:pt>
                <c:pt idx="790">
                  <c:v>-9.322914238507547</c:v>
                </c:pt>
                <c:pt idx="791">
                  <c:v>-9.3229323609452006</c:v>
                </c:pt>
                <c:pt idx="792">
                  <c:v>-9.3229504831033516</c:v>
                </c:pt>
                <c:pt idx="793">
                  <c:v>-9.3229686049820195</c:v>
                </c:pt>
                <c:pt idx="794">
                  <c:v>-9.3229867265811954</c:v>
                </c:pt>
                <c:pt idx="795">
                  <c:v>-9.3230048479008829</c:v>
                </c:pt>
                <c:pt idx="796">
                  <c:v>-9.3230229689410908</c:v>
                </c:pt>
                <c:pt idx="797">
                  <c:v>-9.3230410897018157</c:v>
                </c:pt>
                <c:pt idx="798">
                  <c:v>-9.3230592101830645</c:v>
                </c:pt>
                <c:pt idx="799">
                  <c:v>-9.3230773303848498</c:v>
                </c:pt>
                <c:pt idx="800">
                  <c:v>-9.3230954503071626</c:v>
                </c:pt>
                <c:pt idx="801">
                  <c:v>-9.3231135699500012</c:v>
                </c:pt>
                <c:pt idx="802">
                  <c:v>-9.3231316893133869</c:v>
                </c:pt>
                <c:pt idx="803">
                  <c:v>-9.3231498083973126</c:v>
                </c:pt>
                <c:pt idx="804">
                  <c:v>-9.3231679272017782</c:v>
                </c:pt>
                <c:pt idx="805">
                  <c:v>-9.3231860457267928</c:v>
                </c:pt>
                <c:pt idx="806">
                  <c:v>-9.323204163972358</c:v>
                </c:pt>
                <c:pt idx="807">
                  <c:v>-9.3232222819384809</c:v>
                </c:pt>
                <c:pt idx="808">
                  <c:v>-9.3232403996251598</c:v>
                </c:pt>
                <c:pt idx="809">
                  <c:v>-9.3232585170324001</c:v>
                </c:pt>
                <c:pt idx="810">
                  <c:v>-9.3232766341602016</c:v>
                </c:pt>
                <c:pt idx="811">
                  <c:v>-9.3232947510085769</c:v>
                </c:pt>
                <c:pt idx="812">
                  <c:v>-9.3233128675775152</c:v>
                </c:pt>
                <c:pt idx="813">
                  <c:v>-9.3233309838670326</c:v>
                </c:pt>
                <c:pt idx="814">
                  <c:v>-9.3233490998771327</c:v>
                </c:pt>
                <c:pt idx="815">
                  <c:v>-9.3233672156078065</c:v>
                </c:pt>
                <c:pt idx="816">
                  <c:v>-9.3233853310590717</c:v>
                </c:pt>
                <c:pt idx="817">
                  <c:v>-9.3234034462309161</c:v>
                </c:pt>
                <c:pt idx="818">
                  <c:v>-9.3234215611233573</c:v>
                </c:pt>
                <c:pt idx="819">
                  <c:v>-9.3234396757363882</c:v>
                </c:pt>
                <c:pt idx="820">
                  <c:v>-9.3234577900700231</c:v>
                </c:pt>
                <c:pt idx="821">
                  <c:v>-9.3234759041242548</c:v>
                </c:pt>
                <c:pt idx="822">
                  <c:v>-9.3234940178990904</c:v>
                </c:pt>
                <c:pt idx="823">
                  <c:v>-9.3235121313945388</c:v>
                </c:pt>
                <c:pt idx="824">
                  <c:v>-9.3235302446106001</c:v>
                </c:pt>
                <c:pt idx="825">
                  <c:v>-9.3235483575472706</c:v>
                </c:pt>
                <c:pt idx="826">
                  <c:v>-9.3235664702045629</c:v>
                </c:pt>
                <c:pt idx="827">
                  <c:v>-9.3235845825824715</c:v>
                </c:pt>
                <c:pt idx="828">
                  <c:v>-9.3236026946810036</c:v>
                </c:pt>
                <c:pt idx="829">
                  <c:v>-9.3236208065001662</c:v>
                </c:pt>
                <c:pt idx="830">
                  <c:v>-9.3236389180399577</c:v>
                </c:pt>
                <c:pt idx="831">
                  <c:v>-9.3236570293003904</c:v>
                </c:pt>
                <c:pt idx="832">
                  <c:v>-9.3236751402814573</c:v>
                </c:pt>
                <c:pt idx="833">
                  <c:v>-9.3236932509831671</c:v>
                </c:pt>
                <c:pt idx="834">
                  <c:v>-9.3237113614055183</c:v>
                </c:pt>
                <c:pt idx="835">
                  <c:v>-9.3237294715485231</c:v>
                </c:pt>
                <c:pt idx="836">
                  <c:v>-9.3237475814121744</c:v>
                </c:pt>
                <c:pt idx="837">
                  <c:v>-9.3237656909964812</c:v>
                </c:pt>
                <c:pt idx="838">
                  <c:v>-9.3237838003014488</c:v>
                </c:pt>
                <c:pt idx="839">
                  <c:v>-9.3238019093270719</c:v>
                </c:pt>
                <c:pt idx="840">
                  <c:v>-9.3238200180733628</c:v>
                </c:pt>
                <c:pt idx="841">
                  <c:v>-9.3238381265403198</c:v>
                </c:pt>
                <c:pt idx="842">
                  <c:v>-9.3238562347279519</c:v>
                </c:pt>
                <c:pt idx="843">
                  <c:v>-9.3238743426362571</c:v>
                </c:pt>
                <c:pt idx="844">
                  <c:v>-9.3238924502652409</c:v>
                </c:pt>
                <c:pt idx="845">
                  <c:v>-9.3239105576149051</c:v>
                </c:pt>
                <c:pt idx="846">
                  <c:v>-9.3239286646852566</c:v>
                </c:pt>
                <c:pt idx="847">
                  <c:v>-9.3239467714762903</c:v>
                </c:pt>
                <c:pt idx="848">
                  <c:v>-9.3239648779880238</c:v>
                </c:pt>
                <c:pt idx="849">
                  <c:v>-9.3239829842204447</c:v>
                </c:pt>
                <c:pt idx="850">
                  <c:v>-9.3240010901735673</c:v>
                </c:pt>
                <c:pt idx="851">
                  <c:v>-9.3240191958473915</c:v>
                </c:pt>
                <c:pt idx="852">
                  <c:v>-9.3240373012419155</c:v>
                </c:pt>
                <c:pt idx="853">
                  <c:v>-9.3240554063571537</c:v>
                </c:pt>
                <c:pt idx="854">
                  <c:v>-9.3240735111931023</c:v>
                </c:pt>
                <c:pt idx="855">
                  <c:v>-9.3240916157497615</c:v>
                </c:pt>
                <c:pt idx="856">
                  <c:v>-9.3241097200271437</c:v>
                </c:pt>
                <c:pt idx="857">
                  <c:v>-9.3241278240252399</c:v>
                </c:pt>
                <c:pt idx="858">
                  <c:v>-9.3241459277440715</c:v>
                </c:pt>
                <c:pt idx="859">
                  <c:v>-9.3241640311836242</c:v>
                </c:pt>
                <c:pt idx="860">
                  <c:v>-9.3241821343439053</c:v>
                </c:pt>
                <c:pt idx="861">
                  <c:v>-9.3242002372249306</c:v>
                </c:pt>
                <c:pt idx="862">
                  <c:v>-9.3242183398266913</c:v>
                </c:pt>
                <c:pt idx="863">
                  <c:v>-9.324236442149191</c:v>
                </c:pt>
                <c:pt idx="864">
                  <c:v>-9.3242545441924367</c:v>
                </c:pt>
                <c:pt idx="865">
                  <c:v>-9.3242726459564285</c:v>
                </c:pt>
                <c:pt idx="866">
                  <c:v>-9.3242907474411716</c:v>
                </c:pt>
                <c:pt idx="867">
                  <c:v>-9.3243088486466714</c:v>
                </c:pt>
                <c:pt idx="868">
                  <c:v>-9.3243269495729315</c:v>
                </c:pt>
                <c:pt idx="869">
                  <c:v>-9.3243450502199501</c:v>
                </c:pt>
                <c:pt idx="870">
                  <c:v>-9.3243631505877396</c:v>
                </c:pt>
                <c:pt idx="871">
                  <c:v>-9.3243812506762911</c:v>
                </c:pt>
                <c:pt idx="872">
                  <c:v>-9.3243993504856135</c:v>
                </c:pt>
                <c:pt idx="873">
                  <c:v>-9.3244174500157122</c:v>
                </c:pt>
                <c:pt idx="874">
                  <c:v>-9.3244355492665907</c:v>
                </c:pt>
                <c:pt idx="875">
                  <c:v>-9.324453648238249</c:v>
                </c:pt>
                <c:pt idx="876">
                  <c:v>-9.3244717469306924</c:v>
                </c:pt>
                <c:pt idx="877">
                  <c:v>-9.3244898453439244</c:v>
                </c:pt>
                <c:pt idx="878">
                  <c:v>-9.3245079434779505</c:v>
                </c:pt>
                <c:pt idx="879">
                  <c:v>-9.3245260413327671</c:v>
                </c:pt>
                <c:pt idx="880">
                  <c:v>-9.3245441389083865</c:v>
                </c:pt>
                <c:pt idx="881">
                  <c:v>-9.3245622362048035</c:v>
                </c:pt>
                <c:pt idx="882">
                  <c:v>-9.3245803332220287</c:v>
                </c:pt>
                <c:pt idx="883">
                  <c:v>-9.3245984299600568</c:v>
                </c:pt>
                <c:pt idx="884">
                  <c:v>-9.3246165264189056</c:v>
                </c:pt>
                <c:pt idx="885">
                  <c:v>-9.3246346225985608</c:v>
                </c:pt>
                <c:pt idx="886">
                  <c:v>-9.3246527184990367</c:v>
                </c:pt>
                <c:pt idx="887">
                  <c:v>-9.3246708141203385</c:v>
                </c:pt>
                <c:pt idx="888">
                  <c:v>-9.3246889094624645</c:v>
                </c:pt>
                <c:pt idx="889">
                  <c:v>-9.3247070045254166</c:v>
                </c:pt>
                <c:pt idx="890">
                  <c:v>-9.3247250993091981</c:v>
                </c:pt>
                <c:pt idx="891">
                  <c:v>-9.3247431938138181</c:v>
                </c:pt>
                <c:pt idx="892">
                  <c:v>-9.3247612880392712</c:v>
                </c:pt>
                <c:pt idx="893">
                  <c:v>-9.3247793819855733</c:v>
                </c:pt>
                <c:pt idx="894">
                  <c:v>-9.3247974756527228</c:v>
                </c:pt>
                <c:pt idx="895">
                  <c:v>-9.324815569040716</c:v>
                </c:pt>
                <c:pt idx="896">
                  <c:v>-9.3248336621495582</c:v>
                </c:pt>
                <c:pt idx="897">
                  <c:v>-9.3248517549792567</c:v>
                </c:pt>
                <c:pt idx="898">
                  <c:v>-9.3248698475298184</c:v>
                </c:pt>
                <c:pt idx="899">
                  <c:v>-9.3248879398012381</c:v>
                </c:pt>
                <c:pt idx="900">
                  <c:v>-9.3249060317935211</c:v>
                </c:pt>
                <c:pt idx="901">
                  <c:v>-9.3249241235066727</c:v>
                </c:pt>
                <c:pt idx="902">
                  <c:v>-9.3249422149407</c:v>
                </c:pt>
                <c:pt idx="903">
                  <c:v>-9.3249603060955994</c:v>
                </c:pt>
                <c:pt idx="904">
                  <c:v>-9.32497839697138</c:v>
                </c:pt>
                <c:pt idx="905">
                  <c:v>-9.3249964875680416</c:v>
                </c:pt>
                <c:pt idx="906">
                  <c:v>-9.325014577885586</c:v>
                </c:pt>
                <c:pt idx="907">
                  <c:v>-9.3250326679240203</c:v>
                </c:pt>
                <c:pt idx="908">
                  <c:v>-9.3250507576833499</c:v>
                </c:pt>
                <c:pt idx="909">
                  <c:v>-9.3250688471635712</c:v>
                </c:pt>
                <c:pt idx="910">
                  <c:v>-9.3250869363646913</c:v>
                </c:pt>
                <c:pt idx="911">
                  <c:v>-9.325105025286712</c:v>
                </c:pt>
                <c:pt idx="912">
                  <c:v>-9.3251231139296387</c:v>
                </c:pt>
                <c:pt idx="913">
                  <c:v>-9.3251412022934712</c:v>
                </c:pt>
                <c:pt idx="914">
                  <c:v>-9.3251592903782203</c:v>
                </c:pt>
                <c:pt idx="915">
                  <c:v>-9.3251773781838825</c:v>
                </c:pt>
                <c:pt idx="916">
                  <c:v>-9.3251954657104648</c:v>
                </c:pt>
                <c:pt idx="917">
                  <c:v>-9.3252135529579689</c:v>
                </c:pt>
                <c:pt idx="918">
                  <c:v>-9.3252316399263986</c:v>
                </c:pt>
                <c:pt idx="919">
                  <c:v>-9.3252497266157555</c:v>
                </c:pt>
                <c:pt idx="920">
                  <c:v>-9.3252678130260467</c:v>
                </c:pt>
                <c:pt idx="921">
                  <c:v>-9.3252858991572687</c:v>
                </c:pt>
                <c:pt idx="922">
                  <c:v>-9.3253039850094339</c:v>
                </c:pt>
                <c:pt idx="923">
                  <c:v>-9.3253220705825353</c:v>
                </c:pt>
                <c:pt idx="924">
                  <c:v>-9.3253401558765869</c:v>
                </c:pt>
                <c:pt idx="925">
                  <c:v>-9.3253582408915872</c:v>
                </c:pt>
                <c:pt idx="926">
                  <c:v>-9.3253763256275324</c:v>
                </c:pt>
                <c:pt idx="927">
                  <c:v>-9.3253944100844421</c:v>
                </c:pt>
                <c:pt idx="928">
                  <c:v>-9.3254124942623058</c:v>
                </c:pt>
                <c:pt idx="929">
                  <c:v>-9.325430578161134</c:v>
                </c:pt>
                <c:pt idx="930">
                  <c:v>-9.3254486617809267</c:v>
                </c:pt>
                <c:pt idx="931">
                  <c:v>-9.3254667451216839</c:v>
                </c:pt>
                <c:pt idx="932">
                  <c:v>-9.3254848281834182</c:v>
                </c:pt>
                <c:pt idx="933">
                  <c:v>-9.3255029109661276</c:v>
                </c:pt>
                <c:pt idx="934">
                  <c:v>-9.3255209934698122</c:v>
                </c:pt>
                <c:pt idx="935">
                  <c:v>-9.3255390756944809</c:v>
                </c:pt>
                <c:pt idx="936">
                  <c:v>-9.3255571576401337</c:v>
                </c:pt>
                <c:pt idx="937">
                  <c:v>-9.3255752393067795</c:v>
                </c:pt>
                <c:pt idx="938">
                  <c:v>-9.325593320694411</c:v>
                </c:pt>
                <c:pt idx="939">
                  <c:v>-9.3256114018030427</c:v>
                </c:pt>
                <c:pt idx="940">
                  <c:v>-9.3256294826326762</c:v>
                </c:pt>
                <c:pt idx="941">
                  <c:v>-9.3256475631833062</c:v>
                </c:pt>
                <c:pt idx="942">
                  <c:v>-9.3256656434549416</c:v>
                </c:pt>
                <c:pt idx="943">
                  <c:v>-9.3256837234475878</c:v>
                </c:pt>
                <c:pt idx="944">
                  <c:v>-9.3257018031612446</c:v>
                </c:pt>
                <c:pt idx="945">
                  <c:v>-9.3257198825959176</c:v>
                </c:pt>
                <c:pt idx="946">
                  <c:v>-9.3257379617516083</c:v>
                </c:pt>
                <c:pt idx="947">
                  <c:v>-9.3257560406283257</c:v>
                </c:pt>
                <c:pt idx="948">
                  <c:v>-9.3257741192260628</c:v>
                </c:pt>
                <c:pt idx="949">
                  <c:v>-9.3257921975448284</c:v>
                </c:pt>
                <c:pt idx="950">
                  <c:v>-9.3258102755846348</c:v>
                </c:pt>
                <c:pt idx="951">
                  <c:v>-9.3258283533454662</c:v>
                </c:pt>
                <c:pt idx="952">
                  <c:v>-9.3258464308273439</c:v>
                </c:pt>
                <c:pt idx="953">
                  <c:v>-9.3258645080302554</c:v>
                </c:pt>
                <c:pt idx="954">
                  <c:v>-9.325882584954222</c:v>
                </c:pt>
                <c:pt idx="955">
                  <c:v>-9.3259006615992313</c:v>
                </c:pt>
                <c:pt idx="956">
                  <c:v>-9.3259187379652939</c:v>
                </c:pt>
                <c:pt idx="957">
                  <c:v>-9.3259368140524117</c:v>
                </c:pt>
                <c:pt idx="958">
                  <c:v>-9.3259548898605935</c:v>
                </c:pt>
                <c:pt idx="959">
                  <c:v>-9.3259729653898269</c:v>
                </c:pt>
                <c:pt idx="960">
                  <c:v>-9.3259910406401332</c:v>
                </c:pt>
                <c:pt idx="961">
                  <c:v>-9.3260091156115088</c:v>
                </c:pt>
                <c:pt idx="962">
                  <c:v>-9.3260271903039538</c:v>
                </c:pt>
                <c:pt idx="963">
                  <c:v>-9.3260452647174787</c:v>
                </c:pt>
                <c:pt idx="964">
                  <c:v>-9.3260633388520766</c:v>
                </c:pt>
                <c:pt idx="965">
                  <c:v>-9.326081412707758</c:v>
                </c:pt>
                <c:pt idx="966">
                  <c:v>-9.3260994862845248</c:v>
                </c:pt>
                <c:pt idx="967">
                  <c:v>-9.3261175595823858</c:v>
                </c:pt>
                <c:pt idx="968">
                  <c:v>-9.3261356326013356</c:v>
                </c:pt>
                <c:pt idx="969">
                  <c:v>-9.3261537053413832</c:v>
                </c:pt>
                <c:pt idx="970">
                  <c:v>-9.3261717778025268</c:v>
                </c:pt>
                <c:pt idx="971">
                  <c:v>-9.3261898499847735</c:v>
                </c:pt>
                <c:pt idx="972">
                  <c:v>-9.3262079218881233</c:v>
                </c:pt>
                <c:pt idx="973">
                  <c:v>-9.3262259935125851</c:v>
                </c:pt>
                <c:pt idx="974">
                  <c:v>-9.3262440648581588</c:v>
                </c:pt>
                <c:pt idx="975">
                  <c:v>-9.3262621359248463</c:v>
                </c:pt>
                <c:pt idx="976">
                  <c:v>-9.3262802067126582</c:v>
                </c:pt>
                <c:pt idx="977">
                  <c:v>-9.3262982772215857</c:v>
                </c:pt>
                <c:pt idx="978">
                  <c:v>-9.3263163474516375</c:v>
                </c:pt>
                <c:pt idx="979">
                  <c:v>-9.3263344174028244</c:v>
                </c:pt>
                <c:pt idx="980">
                  <c:v>-9.3263524870751393</c:v>
                </c:pt>
                <c:pt idx="981">
                  <c:v>-9.3263705564685928</c:v>
                </c:pt>
                <c:pt idx="982">
                  <c:v>-9.3263886255831849</c:v>
                </c:pt>
                <c:pt idx="983">
                  <c:v>-9.3264066944189175</c:v>
                </c:pt>
                <c:pt idx="984">
                  <c:v>-9.3264247629757975</c:v>
                </c:pt>
                <c:pt idx="985">
                  <c:v>-9.3264428312538268</c:v>
                </c:pt>
                <c:pt idx="986">
                  <c:v>-9.3264608992530036</c:v>
                </c:pt>
                <c:pt idx="987">
                  <c:v>-9.3264789669733421</c:v>
                </c:pt>
                <c:pt idx="988">
                  <c:v>-9.3264970344148406</c:v>
                </c:pt>
                <c:pt idx="989">
                  <c:v>-9.3265151015775007</c:v>
                </c:pt>
                <c:pt idx="990">
                  <c:v>-9.3265331684613244</c:v>
                </c:pt>
                <c:pt idx="991">
                  <c:v>-9.3265512350663187</c:v>
                </c:pt>
                <c:pt idx="992">
                  <c:v>-9.3265693013924835</c:v>
                </c:pt>
                <c:pt idx="993">
                  <c:v>-9.3265873674398172</c:v>
                </c:pt>
                <c:pt idx="994">
                  <c:v>-9.326605433208341</c:v>
                </c:pt>
                <c:pt idx="995">
                  <c:v>-9.3266234986980443</c:v>
                </c:pt>
                <c:pt idx="996">
                  <c:v>-9.3266415639089306</c:v>
                </c:pt>
                <c:pt idx="997">
                  <c:v>-9.3266596288410124</c:v>
                </c:pt>
                <c:pt idx="998">
                  <c:v>-9.3266776934942754</c:v>
                </c:pt>
                <c:pt idx="999">
                  <c:v>-9.3266957578687464</c:v>
                </c:pt>
                <c:pt idx="1000">
                  <c:v>-9.3267138219644057</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35.100000000000186</c:v>
                </c:pt>
                <c:pt idx="500">
                  <c:v>35.200000000000188</c:v>
                </c:pt>
                <c:pt idx="501">
                  <c:v>35.300000000000189</c:v>
                </c:pt>
                <c:pt idx="502">
                  <c:v>35.40000000000019</c:v>
                </c:pt>
                <c:pt idx="503">
                  <c:v>35.500000000000192</c:v>
                </c:pt>
                <c:pt idx="504">
                  <c:v>35.600000000000193</c:v>
                </c:pt>
                <c:pt idx="505">
                  <c:v>35.700000000000195</c:v>
                </c:pt>
                <c:pt idx="506">
                  <c:v>35.800000000000196</c:v>
                </c:pt>
                <c:pt idx="507">
                  <c:v>35.900000000000198</c:v>
                </c:pt>
                <c:pt idx="508">
                  <c:v>36.000000000000199</c:v>
                </c:pt>
                <c:pt idx="509">
                  <c:v>36.1000000000002</c:v>
                </c:pt>
                <c:pt idx="510">
                  <c:v>36.200000000000202</c:v>
                </c:pt>
                <c:pt idx="511">
                  <c:v>36.300000000000203</c:v>
                </c:pt>
                <c:pt idx="512">
                  <c:v>36.400000000000205</c:v>
                </c:pt>
                <c:pt idx="513">
                  <c:v>36.500000000000206</c:v>
                </c:pt>
                <c:pt idx="514">
                  <c:v>36.600000000000207</c:v>
                </c:pt>
                <c:pt idx="515">
                  <c:v>36.700000000000209</c:v>
                </c:pt>
                <c:pt idx="516">
                  <c:v>36.80000000000021</c:v>
                </c:pt>
                <c:pt idx="517">
                  <c:v>36.800100000000214</c:v>
                </c:pt>
                <c:pt idx="518">
                  <c:v>36.800200000000217</c:v>
                </c:pt>
                <c:pt idx="519">
                  <c:v>36.80030000000022</c:v>
                </c:pt>
                <c:pt idx="520">
                  <c:v>36.800400000000224</c:v>
                </c:pt>
                <c:pt idx="521">
                  <c:v>36.800500000000227</c:v>
                </c:pt>
                <c:pt idx="522">
                  <c:v>36.80060000000023</c:v>
                </c:pt>
                <c:pt idx="523">
                  <c:v>36.800700000000234</c:v>
                </c:pt>
                <c:pt idx="524">
                  <c:v>36.800800000000237</c:v>
                </c:pt>
                <c:pt idx="525">
                  <c:v>36.80090000000024</c:v>
                </c:pt>
                <c:pt idx="526">
                  <c:v>36.801000000000244</c:v>
                </c:pt>
                <c:pt idx="527">
                  <c:v>36.801100000000247</c:v>
                </c:pt>
                <c:pt idx="528">
                  <c:v>36.80120000000025</c:v>
                </c:pt>
                <c:pt idx="529">
                  <c:v>36.801300000000253</c:v>
                </c:pt>
                <c:pt idx="530">
                  <c:v>36.801400000000257</c:v>
                </c:pt>
                <c:pt idx="531">
                  <c:v>36.80150000000026</c:v>
                </c:pt>
                <c:pt idx="532">
                  <c:v>36.801600000000263</c:v>
                </c:pt>
                <c:pt idx="533">
                  <c:v>36.801700000000267</c:v>
                </c:pt>
                <c:pt idx="534">
                  <c:v>36.80180000000027</c:v>
                </c:pt>
                <c:pt idx="535">
                  <c:v>36.801900000000273</c:v>
                </c:pt>
                <c:pt idx="536">
                  <c:v>36.802000000000277</c:v>
                </c:pt>
                <c:pt idx="537">
                  <c:v>36.80210000000028</c:v>
                </c:pt>
                <c:pt idx="538">
                  <c:v>36.802200000000283</c:v>
                </c:pt>
                <c:pt idx="539">
                  <c:v>36.802300000000287</c:v>
                </c:pt>
                <c:pt idx="540">
                  <c:v>36.80240000000029</c:v>
                </c:pt>
                <c:pt idx="541">
                  <c:v>36.802500000000293</c:v>
                </c:pt>
                <c:pt idx="542">
                  <c:v>36.802600000000297</c:v>
                </c:pt>
                <c:pt idx="543">
                  <c:v>36.8027000000003</c:v>
                </c:pt>
                <c:pt idx="544">
                  <c:v>36.802800000000303</c:v>
                </c:pt>
                <c:pt idx="545">
                  <c:v>36.802900000000307</c:v>
                </c:pt>
                <c:pt idx="546">
                  <c:v>36.80300000000031</c:v>
                </c:pt>
                <c:pt idx="547">
                  <c:v>36.803100000000313</c:v>
                </c:pt>
                <c:pt idx="548">
                  <c:v>36.803200000000317</c:v>
                </c:pt>
                <c:pt idx="549">
                  <c:v>36.80330000000032</c:v>
                </c:pt>
                <c:pt idx="550">
                  <c:v>36.803400000000323</c:v>
                </c:pt>
                <c:pt idx="551">
                  <c:v>36.803500000000327</c:v>
                </c:pt>
                <c:pt idx="552">
                  <c:v>36.80360000000033</c:v>
                </c:pt>
                <c:pt idx="553">
                  <c:v>36.803700000000333</c:v>
                </c:pt>
                <c:pt idx="554">
                  <c:v>36.803800000000336</c:v>
                </c:pt>
                <c:pt idx="555">
                  <c:v>36.80390000000034</c:v>
                </c:pt>
                <c:pt idx="556">
                  <c:v>36.804000000000343</c:v>
                </c:pt>
                <c:pt idx="557">
                  <c:v>36.804100000000346</c:v>
                </c:pt>
                <c:pt idx="558">
                  <c:v>36.80420000000035</c:v>
                </c:pt>
                <c:pt idx="559">
                  <c:v>36.804300000000353</c:v>
                </c:pt>
                <c:pt idx="560">
                  <c:v>36.804400000000356</c:v>
                </c:pt>
                <c:pt idx="561">
                  <c:v>36.80450000000036</c:v>
                </c:pt>
                <c:pt idx="562">
                  <c:v>36.804600000000363</c:v>
                </c:pt>
                <c:pt idx="563">
                  <c:v>36.804700000000366</c:v>
                </c:pt>
                <c:pt idx="564">
                  <c:v>36.80480000000037</c:v>
                </c:pt>
                <c:pt idx="565">
                  <c:v>36.804900000000373</c:v>
                </c:pt>
                <c:pt idx="566">
                  <c:v>36.805000000000376</c:v>
                </c:pt>
                <c:pt idx="567">
                  <c:v>36.80510000000038</c:v>
                </c:pt>
                <c:pt idx="568">
                  <c:v>36.805200000000383</c:v>
                </c:pt>
                <c:pt idx="569">
                  <c:v>36.805300000000386</c:v>
                </c:pt>
                <c:pt idx="570">
                  <c:v>36.80540000000039</c:v>
                </c:pt>
                <c:pt idx="571">
                  <c:v>36.805500000000393</c:v>
                </c:pt>
                <c:pt idx="572">
                  <c:v>36.805600000000396</c:v>
                </c:pt>
                <c:pt idx="573">
                  <c:v>36.8057000000004</c:v>
                </c:pt>
                <c:pt idx="574">
                  <c:v>36.805800000000403</c:v>
                </c:pt>
                <c:pt idx="575">
                  <c:v>36.805900000000406</c:v>
                </c:pt>
                <c:pt idx="576">
                  <c:v>36.806000000000409</c:v>
                </c:pt>
                <c:pt idx="577">
                  <c:v>36.806100000000413</c:v>
                </c:pt>
                <c:pt idx="578">
                  <c:v>36.806200000000416</c:v>
                </c:pt>
                <c:pt idx="579">
                  <c:v>36.806300000000419</c:v>
                </c:pt>
                <c:pt idx="580">
                  <c:v>36.806400000000423</c:v>
                </c:pt>
                <c:pt idx="581">
                  <c:v>36.806500000000426</c:v>
                </c:pt>
                <c:pt idx="582">
                  <c:v>36.806600000000429</c:v>
                </c:pt>
                <c:pt idx="583">
                  <c:v>36.806700000000433</c:v>
                </c:pt>
                <c:pt idx="584">
                  <c:v>36.806800000000436</c:v>
                </c:pt>
                <c:pt idx="585">
                  <c:v>36.806900000000439</c:v>
                </c:pt>
                <c:pt idx="586">
                  <c:v>36.807000000000443</c:v>
                </c:pt>
                <c:pt idx="587">
                  <c:v>36.807100000000446</c:v>
                </c:pt>
                <c:pt idx="588">
                  <c:v>36.807200000000449</c:v>
                </c:pt>
                <c:pt idx="589">
                  <c:v>36.807300000000453</c:v>
                </c:pt>
                <c:pt idx="590">
                  <c:v>36.807400000000456</c:v>
                </c:pt>
                <c:pt idx="591">
                  <c:v>36.807500000000459</c:v>
                </c:pt>
                <c:pt idx="592">
                  <c:v>36.807600000000463</c:v>
                </c:pt>
                <c:pt idx="593">
                  <c:v>36.807700000000466</c:v>
                </c:pt>
                <c:pt idx="594">
                  <c:v>36.807800000000469</c:v>
                </c:pt>
                <c:pt idx="595">
                  <c:v>36.807900000000473</c:v>
                </c:pt>
                <c:pt idx="596">
                  <c:v>36.808000000000476</c:v>
                </c:pt>
                <c:pt idx="597">
                  <c:v>36.808100000000479</c:v>
                </c:pt>
                <c:pt idx="598">
                  <c:v>36.808200000000483</c:v>
                </c:pt>
                <c:pt idx="599">
                  <c:v>36.808300000000486</c:v>
                </c:pt>
                <c:pt idx="600">
                  <c:v>36.808400000000489</c:v>
                </c:pt>
                <c:pt idx="601">
                  <c:v>36.808500000000492</c:v>
                </c:pt>
                <c:pt idx="602">
                  <c:v>36.808600000000496</c:v>
                </c:pt>
                <c:pt idx="603">
                  <c:v>36.808700000000499</c:v>
                </c:pt>
                <c:pt idx="604">
                  <c:v>36.808800000000502</c:v>
                </c:pt>
                <c:pt idx="605">
                  <c:v>36.808900000000506</c:v>
                </c:pt>
                <c:pt idx="606">
                  <c:v>36.809000000000509</c:v>
                </c:pt>
                <c:pt idx="607">
                  <c:v>36.809100000000512</c:v>
                </c:pt>
                <c:pt idx="608">
                  <c:v>36.809200000000516</c:v>
                </c:pt>
                <c:pt idx="609">
                  <c:v>36.809300000000519</c:v>
                </c:pt>
                <c:pt idx="610">
                  <c:v>36.809400000000522</c:v>
                </c:pt>
                <c:pt idx="611">
                  <c:v>36.809500000000526</c:v>
                </c:pt>
                <c:pt idx="612">
                  <c:v>36.809600000000529</c:v>
                </c:pt>
                <c:pt idx="613">
                  <c:v>36.809700000000532</c:v>
                </c:pt>
                <c:pt idx="614">
                  <c:v>36.809800000000536</c:v>
                </c:pt>
                <c:pt idx="615">
                  <c:v>36.809900000000539</c:v>
                </c:pt>
                <c:pt idx="616">
                  <c:v>36.810000000000542</c:v>
                </c:pt>
                <c:pt idx="617">
                  <c:v>36.810100000000546</c:v>
                </c:pt>
                <c:pt idx="618">
                  <c:v>36.810200000000549</c:v>
                </c:pt>
                <c:pt idx="619">
                  <c:v>36.810300000000552</c:v>
                </c:pt>
                <c:pt idx="620">
                  <c:v>36.810400000000556</c:v>
                </c:pt>
                <c:pt idx="621">
                  <c:v>36.810500000000559</c:v>
                </c:pt>
                <c:pt idx="622">
                  <c:v>36.810600000000562</c:v>
                </c:pt>
                <c:pt idx="623">
                  <c:v>36.810700000000566</c:v>
                </c:pt>
                <c:pt idx="624">
                  <c:v>36.810800000000569</c:v>
                </c:pt>
                <c:pt idx="625">
                  <c:v>36.810900000000572</c:v>
                </c:pt>
                <c:pt idx="626">
                  <c:v>36.811000000000575</c:v>
                </c:pt>
                <c:pt idx="627">
                  <c:v>36.811100000000579</c:v>
                </c:pt>
                <c:pt idx="628">
                  <c:v>36.811200000000582</c:v>
                </c:pt>
                <c:pt idx="629">
                  <c:v>36.811300000000585</c:v>
                </c:pt>
                <c:pt idx="630">
                  <c:v>36.811400000000589</c:v>
                </c:pt>
                <c:pt idx="631">
                  <c:v>36.811500000000592</c:v>
                </c:pt>
                <c:pt idx="632">
                  <c:v>36.811600000000595</c:v>
                </c:pt>
                <c:pt idx="633">
                  <c:v>36.811700000000599</c:v>
                </c:pt>
                <c:pt idx="634">
                  <c:v>36.811800000000602</c:v>
                </c:pt>
                <c:pt idx="635">
                  <c:v>36.811900000000605</c:v>
                </c:pt>
                <c:pt idx="636">
                  <c:v>36.812000000000609</c:v>
                </c:pt>
                <c:pt idx="637">
                  <c:v>36.812100000000612</c:v>
                </c:pt>
                <c:pt idx="638">
                  <c:v>36.812200000000615</c:v>
                </c:pt>
                <c:pt idx="639">
                  <c:v>36.812300000000619</c:v>
                </c:pt>
                <c:pt idx="640">
                  <c:v>36.812400000000622</c:v>
                </c:pt>
                <c:pt idx="641">
                  <c:v>36.812500000000625</c:v>
                </c:pt>
                <c:pt idx="642">
                  <c:v>36.812600000000629</c:v>
                </c:pt>
                <c:pt idx="643">
                  <c:v>36.812700000000632</c:v>
                </c:pt>
                <c:pt idx="644">
                  <c:v>36.812800000000635</c:v>
                </c:pt>
                <c:pt idx="645">
                  <c:v>36.812900000000639</c:v>
                </c:pt>
                <c:pt idx="646">
                  <c:v>36.813000000000642</c:v>
                </c:pt>
                <c:pt idx="647">
                  <c:v>36.813100000000645</c:v>
                </c:pt>
                <c:pt idx="648">
                  <c:v>36.813200000000649</c:v>
                </c:pt>
                <c:pt idx="649">
                  <c:v>36.813300000000652</c:v>
                </c:pt>
                <c:pt idx="650">
                  <c:v>36.813400000000655</c:v>
                </c:pt>
                <c:pt idx="651">
                  <c:v>36.813500000000658</c:v>
                </c:pt>
                <c:pt idx="652">
                  <c:v>36.813600000000662</c:v>
                </c:pt>
                <c:pt idx="653">
                  <c:v>36.813700000000665</c:v>
                </c:pt>
                <c:pt idx="654">
                  <c:v>36.813800000000668</c:v>
                </c:pt>
                <c:pt idx="655">
                  <c:v>36.813900000000672</c:v>
                </c:pt>
                <c:pt idx="656">
                  <c:v>36.814000000000675</c:v>
                </c:pt>
                <c:pt idx="657">
                  <c:v>36.814100000000678</c:v>
                </c:pt>
                <c:pt idx="658">
                  <c:v>36.814200000000682</c:v>
                </c:pt>
                <c:pt idx="659">
                  <c:v>36.814300000000685</c:v>
                </c:pt>
                <c:pt idx="660">
                  <c:v>36.814400000000688</c:v>
                </c:pt>
                <c:pt idx="661">
                  <c:v>36.814500000000692</c:v>
                </c:pt>
                <c:pt idx="662">
                  <c:v>36.814600000000695</c:v>
                </c:pt>
                <c:pt idx="663">
                  <c:v>36.814700000000698</c:v>
                </c:pt>
                <c:pt idx="664">
                  <c:v>36.814800000000702</c:v>
                </c:pt>
                <c:pt idx="665">
                  <c:v>36.814900000000705</c:v>
                </c:pt>
                <c:pt idx="666">
                  <c:v>36.815000000000708</c:v>
                </c:pt>
                <c:pt idx="667">
                  <c:v>36.815100000000712</c:v>
                </c:pt>
                <c:pt idx="668">
                  <c:v>36.815200000000715</c:v>
                </c:pt>
                <c:pt idx="669">
                  <c:v>36.815300000000718</c:v>
                </c:pt>
                <c:pt idx="670">
                  <c:v>36.815400000000722</c:v>
                </c:pt>
                <c:pt idx="671">
                  <c:v>36.815500000000725</c:v>
                </c:pt>
                <c:pt idx="672">
                  <c:v>36.815600000000728</c:v>
                </c:pt>
                <c:pt idx="673">
                  <c:v>36.815700000000732</c:v>
                </c:pt>
                <c:pt idx="674">
                  <c:v>36.815800000000735</c:v>
                </c:pt>
                <c:pt idx="675">
                  <c:v>36.815900000000738</c:v>
                </c:pt>
                <c:pt idx="676">
                  <c:v>36.816000000000741</c:v>
                </c:pt>
                <c:pt idx="677">
                  <c:v>36.816100000000745</c:v>
                </c:pt>
                <c:pt idx="678">
                  <c:v>36.816200000000748</c:v>
                </c:pt>
                <c:pt idx="679">
                  <c:v>36.816300000000751</c:v>
                </c:pt>
                <c:pt idx="680">
                  <c:v>36.816400000000755</c:v>
                </c:pt>
                <c:pt idx="681">
                  <c:v>36.816500000000758</c:v>
                </c:pt>
                <c:pt idx="682">
                  <c:v>36.816600000000761</c:v>
                </c:pt>
                <c:pt idx="683">
                  <c:v>36.816700000000765</c:v>
                </c:pt>
                <c:pt idx="684">
                  <c:v>36.816800000000768</c:v>
                </c:pt>
                <c:pt idx="685">
                  <c:v>36.816900000000771</c:v>
                </c:pt>
                <c:pt idx="686">
                  <c:v>36.817000000000775</c:v>
                </c:pt>
                <c:pt idx="687">
                  <c:v>36.817100000000778</c:v>
                </c:pt>
                <c:pt idx="688">
                  <c:v>36.817200000000781</c:v>
                </c:pt>
                <c:pt idx="689">
                  <c:v>36.817300000000785</c:v>
                </c:pt>
                <c:pt idx="690">
                  <c:v>36.817400000000788</c:v>
                </c:pt>
                <c:pt idx="691">
                  <c:v>36.817500000000791</c:v>
                </c:pt>
                <c:pt idx="692">
                  <c:v>36.817600000000795</c:v>
                </c:pt>
                <c:pt idx="693">
                  <c:v>36.817700000000798</c:v>
                </c:pt>
                <c:pt idx="694">
                  <c:v>36.817800000000801</c:v>
                </c:pt>
                <c:pt idx="695">
                  <c:v>36.817900000000805</c:v>
                </c:pt>
                <c:pt idx="696">
                  <c:v>36.818000000000808</c:v>
                </c:pt>
                <c:pt idx="697">
                  <c:v>36.818100000000811</c:v>
                </c:pt>
                <c:pt idx="698">
                  <c:v>36.818200000000814</c:v>
                </c:pt>
                <c:pt idx="699">
                  <c:v>36.818300000000818</c:v>
                </c:pt>
                <c:pt idx="700">
                  <c:v>36.818400000000821</c:v>
                </c:pt>
                <c:pt idx="701">
                  <c:v>36.818500000000824</c:v>
                </c:pt>
                <c:pt idx="702">
                  <c:v>36.818600000000828</c:v>
                </c:pt>
                <c:pt idx="703">
                  <c:v>36.818700000000831</c:v>
                </c:pt>
                <c:pt idx="704">
                  <c:v>36.818800000000834</c:v>
                </c:pt>
                <c:pt idx="705">
                  <c:v>36.818900000000838</c:v>
                </c:pt>
                <c:pt idx="706">
                  <c:v>36.819000000000841</c:v>
                </c:pt>
                <c:pt idx="707">
                  <c:v>36.819100000000844</c:v>
                </c:pt>
                <c:pt idx="708">
                  <c:v>36.819200000000848</c:v>
                </c:pt>
                <c:pt idx="709">
                  <c:v>36.819300000000851</c:v>
                </c:pt>
                <c:pt idx="710">
                  <c:v>36.819400000000854</c:v>
                </c:pt>
                <c:pt idx="711">
                  <c:v>36.819500000000858</c:v>
                </c:pt>
                <c:pt idx="712">
                  <c:v>36.819600000000861</c:v>
                </c:pt>
                <c:pt idx="713">
                  <c:v>36.819700000000864</c:v>
                </c:pt>
                <c:pt idx="714">
                  <c:v>36.819800000000868</c:v>
                </c:pt>
                <c:pt idx="715">
                  <c:v>36.819900000000871</c:v>
                </c:pt>
                <c:pt idx="716">
                  <c:v>36.820000000000874</c:v>
                </c:pt>
                <c:pt idx="717">
                  <c:v>36.820100000000878</c:v>
                </c:pt>
                <c:pt idx="718">
                  <c:v>36.820200000000881</c:v>
                </c:pt>
                <c:pt idx="719">
                  <c:v>36.820300000000884</c:v>
                </c:pt>
                <c:pt idx="720">
                  <c:v>36.820400000000888</c:v>
                </c:pt>
                <c:pt idx="721">
                  <c:v>36.820500000000891</c:v>
                </c:pt>
                <c:pt idx="722">
                  <c:v>36.820600000000894</c:v>
                </c:pt>
                <c:pt idx="723">
                  <c:v>36.820700000000897</c:v>
                </c:pt>
                <c:pt idx="724">
                  <c:v>36.820800000000901</c:v>
                </c:pt>
                <c:pt idx="725">
                  <c:v>36.820900000000904</c:v>
                </c:pt>
                <c:pt idx="726">
                  <c:v>36.821000000000907</c:v>
                </c:pt>
                <c:pt idx="727">
                  <c:v>36.821100000000911</c:v>
                </c:pt>
                <c:pt idx="728">
                  <c:v>36.821200000000914</c:v>
                </c:pt>
                <c:pt idx="729">
                  <c:v>36.821300000000917</c:v>
                </c:pt>
                <c:pt idx="730">
                  <c:v>36.821400000000921</c:v>
                </c:pt>
                <c:pt idx="731">
                  <c:v>36.821500000000924</c:v>
                </c:pt>
                <c:pt idx="732">
                  <c:v>36.821600000000927</c:v>
                </c:pt>
                <c:pt idx="733">
                  <c:v>36.821700000000931</c:v>
                </c:pt>
                <c:pt idx="734">
                  <c:v>36.821800000000934</c:v>
                </c:pt>
                <c:pt idx="735">
                  <c:v>36.821900000000937</c:v>
                </c:pt>
                <c:pt idx="736">
                  <c:v>36.822000000000941</c:v>
                </c:pt>
                <c:pt idx="737">
                  <c:v>36.822100000000944</c:v>
                </c:pt>
                <c:pt idx="738">
                  <c:v>36.822200000000947</c:v>
                </c:pt>
                <c:pt idx="739">
                  <c:v>36.822300000000951</c:v>
                </c:pt>
                <c:pt idx="740">
                  <c:v>36.822400000000954</c:v>
                </c:pt>
                <c:pt idx="741">
                  <c:v>36.822500000000957</c:v>
                </c:pt>
                <c:pt idx="742">
                  <c:v>36.822600000000961</c:v>
                </c:pt>
                <c:pt idx="743">
                  <c:v>36.822700000000964</c:v>
                </c:pt>
                <c:pt idx="744">
                  <c:v>36.822800000000967</c:v>
                </c:pt>
                <c:pt idx="745">
                  <c:v>36.822900000000971</c:v>
                </c:pt>
                <c:pt idx="746">
                  <c:v>36.823000000000974</c:v>
                </c:pt>
                <c:pt idx="747">
                  <c:v>36.823100000000977</c:v>
                </c:pt>
                <c:pt idx="748">
                  <c:v>36.82320000000098</c:v>
                </c:pt>
                <c:pt idx="749">
                  <c:v>36.823300000000984</c:v>
                </c:pt>
                <c:pt idx="750">
                  <c:v>36.823400000000987</c:v>
                </c:pt>
                <c:pt idx="751">
                  <c:v>36.82350000000099</c:v>
                </c:pt>
                <c:pt idx="752">
                  <c:v>36.823600000000994</c:v>
                </c:pt>
                <c:pt idx="753">
                  <c:v>36.823700000000997</c:v>
                </c:pt>
                <c:pt idx="754">
                  <c:v>36.823800000001</c:v>
                </c:pt>
                <c:pt idx="755">
                  <c:v>36.823900000001004</c:v>
                </c:pt>
                <c:pt idx="756">
                  <c:v>36.824000000001007</c:v>
                </c:pt>
                <c:pt idx="757">
                  <c:v>36.82410000000101</c:v>
                </c:pt>
                <c:pt idx="758">
                  <c:v>36.824200000001014</c:v>
                </c:pt>
                <c:pt idx="759">
                  <c:v>36.824300000001017</c:v>
                </c:pt>
                <c:pt idx="760">
                  <c:v>36.82440000000102</c:v>
                </c:pt>
                <c:pt idx="761">
                  <c:v>36.824500000001024</c:v>
                </c:pt>
                <c:pt idx="762">
                  <c:v>36.824600000001027</c:v>
                </c:pt>
                <c:pt idx="763">
                  <c:v>36.82470000000103</c:v>
                </c:pt>
                <c:pt idx="764">
                  <c:v>36.824800000001034</c:v>
                </c:pt>
                <c:pt idx="765">
                  <c:v>36.824900000001037</c:v>
                </c:pt>
                <c:pt idx="766">
                  <c:v>36.82500000000104</c:v>
                </c:pt>
                <c:pt idx="767">
                  <c:v>36.825100000001044</c:v>
                </c:pt>
                <c:pt idx="768">
                  <c:v>36.825200000001047</c:v>
                </c:pt>
                <c:pt idx="769">
                  <c:v>36.82530000000105</c:v>
                </c:pt>
                <c:pt idx="770">
                  <c:v>36.825400000001054</c:v>
                </c:pt>
                <c:pt idx="771">
                  <c:v>36.825500000001057</c:v>
                </c:pt>
                <c:pt idx="772">
                  <c:v>36.82560000000106</c:v>
                </c:pt>
                <c:pt idx="773">
                  <c:v>36.825700000001063</c:v>
                </c:pt>
                <c:pt idx="774">
                  <c:v>36.825800000001067</c:v>
                </c:pt>
                <c:pt idx="775">
                  <c:v>36.82590000000107</c:v>
                </c:pt>
                <c:pt idx="776">
                  <c:v>36.826000000001073</c:v>
                </c:pt>
                <c:pt idx="777">
                  <c:v>36.826100000001077</c:v>
                </c:pt>
                <c:pt idx="778">
                  <c:v>36.82620000000108</c:v>
                </c:pt>
                <c:pt idx="779">
                  <c:v>36.826300000001083</c:v>
                </c:pt>
                <c:pt idx="780">
                  <c:v>36.826400000001087</c:v>
                </c:pt>
                <c:pt idx="781">
                  <c:v>36.82650000000109</c:v>
                </c:pt>
                <c:pt idx="782">
                  <c:v>36.826600000001093</c:v>
                </c:pt>
                <c:pt idx="783">
                  <c:v>36.826700000001097</c:v>
                </c:pt>
                <c:pt idx="784">
                  <c:v>36.8268000000011</c:v>
                </c:pt>
                <c:pt idx="785">
                  <c:v>36.826900000001103</c:v>
                </c:pt>
                <c:pt idx="786">
                  <c:v>36.827000000001107</c:v>
                </c:pt>
                <c:pt idx="787">
                  <c:v>36.82710000000111</c:v>
                </c:pt>
                <c:pt idx="788">
                  <c:v>36.827200000001113</c:v>
                </c:pt>
                <c:pt idx="789">
                  <c:v>36.827300000001117</c:v>
                </c:pt>
                <c:pt idx="790">
                  <c:v>36.82740000000112</c:v>
                </c:pt>
                <c:pt idx="791">
                  <c:v>36.827500000001123</c:v>
                </c:pt>
                <c:pt idx="792">
                  <c:v>36.827600000001127</c:v>
                </c:pt>
                <c:pt idx="793">
                  <c:v>36.82770000000113</c:v>
                </c:pt>
                <c:pt idx="794">
                  <c:v>36.827800000001133</c:v>
                </c:pt>
                <c:pt idx="795">
                  <c:v>36.827900000001137</c:v>
                </c:pt>
                <c:pt idx="796">
                  <c:v>36.82800000000114</c:v>
                </c:pt>
                <c:pt idx="797">
                  <c:v>36.828100000001143</c:v>
                </c:pt>
                <c:pt idx="798">
                  <c:v>36.828200000001146</c:v>
                </c:pt>
                <c:pt idx="799">
                  <c:v>36.82830000000115</c:v>
                </c:pt>
                <c:pt idx="800">
                  <c:v>36.828400000001153</c:v>
                </c:pt>
                <c:pt idx="801">
                  <c:v>36.828500000001156</c:v>
                </c:pt>
                <c:pt idx="802">
                  <c:v>36.82860000000116</c:v>
                </c:pt>
                <c:pt idx="803">
                  <c:v>36.828700000001163</c:v>
                </c:pt>
                <c:pt idx="804">
                  <c:v>36.828800000001166</c:v>
                </c:pt>
                <c:pt idx="805">
                  <c:v>36.82890000000117</c:v>
                </c:pt>
                <c:pt idx="806">
                  <c:v>36.829000000001173</c:v>
                </c:pt>
                <c:pt idx="807">
                  <c:v>36.829100000001176</c:v>
                </c:pt>
                <c:pt idx="808">
                  <c:v>36.82920000000118</c:v>
                </c:pt>
                <c:pt idx="809">
                  <c:v>36.829300000001183</c:v>
                </c:pt>
                <c:pt idx="810">
                  <c:v>36.829400000001186</c:v>
                </c:pt>
                <c:pt idx="811">
                  <c:v>36.82950000000119</c:v>
                </c:pt>
                <c:pt idx="812">
                  <c:v>36.829600000001193</c:v>
                </c:pt>
                <c:pt idx="813">
                  <c:v>36.829700000001196</c:v>
                </c:pt>
                <c:pt idx="814">
                  <c:v>36.8298000000012</c:v>
                </c:pt>
                <c:pt idx="815">
                  <c:v>36.829900000001203</c:v>
                </c:pt>
                <c:pt idx="816">
                  <c:v>36.830000000001206</c:v>
                </c:pt>
                <c:pt idx="817">
                  <c:v>36.83010000000121</c:v>
                </c:pt>
                <c:pt idx="818">
                  <c:v>36.830200000001213</c:v>
                </c:pt>
                <c:pt idx="819">
                  <c:v>36.830300000001216</c:v>
                </c:pt>
                <c:pt idx="820">
                  <c:v>36.830400000001219</c:v>
                </c:pt>
                <c:pt idx="821">
                  <c:v>36.830500000001223</c:v>
                </c:pt>
                <c:pt idx="822">
                  <c:v>36.830600000001226</c:v>
                </c:pt>
                <c:pt idx="823">
                  <c:v>36.830700000001229</c:v>
                </c:pt>
                <c:pt idx="824">
                  <c:v>36.830800000001233</c:v>
                </c:pt>
                <c:pt idx="825">
                  <c:v>36.830900000001236</c:v>
                </c:pt>
                <c:pt idx="826">
                  <c:v>36.831000000001239</c:v>
                </c:pt>
                <c:pt idx="827">
                  <c:v>36.831100000001243</c:v>
                </c:pt>
                <c:pt idx="828">
                  <c:v>36.831200000001246</c:v>
                </c:pt>
                <c:pt idx="829">
                  <c:v>36.831300000001249</c:v>
                </c:pt>
                <c:pt idx="830">
                  <c:v>36.831400000001253</c:v>
                </c:pt>
                <c:pt idx="831">
                  <c:v>36.831500000001256</c:v>
                </c:pt>
                <c:pt idx="832">
                  <c:v>36.831600000001259</c:v>
                </c:pt>
                <c:pt idx="833">
                  <c:v>36.831700000001263</c:v>
                </c:pt>
                <c:pt idx="834">
                  <c:v>36.831800000001266</c:v>
                </c:pt>
                <c:pt idx="835">
                  <c:v>36.831900000001269</c:v>
                </c:pt>
                <c:pt idx="836">
                  <c:v>36.832000000001273</c:v>
                </c:pt>
                <c:pt idx="837">
                  <c:v>36.832100000001276</c:v>
                </c:pt>
                <c:pt idx="838">
                  <c:v>36.832200000001279</c:v>
                </c:pt>
                <c:pt idx="839">
                  <c:v>36.832300000001283</c:v>
                </c:pt>
                <c:pt idx="840">
                  <c:v>36.832400000001286</c:v>
                </c:pt>
                <c:pt idx="841">
                  <c:v>36.832500000001289</c:v>
                </c:pt>
                <c:pt idx="842">
                  <c:v>36.832600000001293</c:v>
                </c:pt>
                <c:pt idx="843">
                  <c:v>36.832700000001296</c:v>
                </c:pt>
                <c:pt idx="844">
                  <c:v>36.832800000001299</c:v>
                </c:pt>
                <c:pt idx="845">
                  <c:v>36.832900000001302</c:v>
                </c:pt>
                <c:pt idx="846">
                  <c:v>36.833000000001306</c:v>
                </c:pt>
                <c:pt idx="847">
                  <c:v>36.833100000001309</c:v>
                </c:pt>
                <c:pt idx="848">
                  <c:v>36.833200000001312</c:v>
                </c:pt>
                <c:pt idx="849">
                  <c:v>36.833300000001316</c:v>
                </c:pt>
                <c:pt idx="850">
                  <c:v>36.833400000001319</c:v>
                </c:pt>
                <c:pt idx="851">
                  <c:v>36.833500000001322</c:v>
                </c:pt>
                <c:pt idx="852">
                  <c:v>36.833600000001326</c:v>
                </c:pt>
                <c:pt idx="853">
                  <c:v>36.833700000001329</c:v>
                </c:pt>
                <c:pt idx="854">
                  <c:v>36.833800000001332</c:v>
                </c:pt>
                <c:pt idx="855">
                  <c:v>36.833900000001336</c:v>
                </c:pt>
                <c:pt idx="856">
                  <c:v>36.834000000001339</c:v>
                </c:pt>
                <c:pt idx="857">
                  <c:v>36.834100000001342</c:v>
                </c:pt>
                <c:pt idx="858">
                  <c:v>36.834200000001346</c:v>
                </c:pt>
                <c:pt idx="859">
                  <c:v>36.834300000001349</c:v>
                </c:pt>
                <c:pt idx="860">
                  <c:v>36.834400000001352</c:v>
                </c:pt>
                <c:pt idx="861">
                  <c:v>36.834500000001356</c:v>
                </c:pt>
                <c:pt idx="862">
                  <c:v>36.834600000001359</c:v>
                </c:pt>
                <c:pt idx="863">
                  <c:v>36.834700000001362</c:v>
                </c:pt>
                <c:pt idx="864">
                  <c:v>36.834800000001366</c:v>
                </c:pt>
                <c:pt idx="865">
                  <c:v>36.834900000001369</c:v>
                </c:pt>
                <c:pt idx="866">
                  <c:v>36.835000000001372</c:v>
                </c:pt>
                <c:pt idx="867">
                  <c:v>36.835100000001376</c:v>
                </c:pt>
                <c:pt idx="868">
                  <c:v>36.835200000001379</c:v>
                </c:pt>
                <c:pt idx="869">
                  <c:v>36.835300000001382</c:v>
                </c:pt>
                <c:pt idx="870">
                  <c:v>36.835400000001385</c:v>
                </c:pt>
                <c:pt idx="871">
                  <c:v>36.835500000001389</c:v>
                </c:pt>
                <c:pt idx="872">
                  <c:v>36.835600000001392</c:v>
                </c:pt>
                <c:pt idx="873">
                  <c:v>36.835700000001395</c:v>
                </c:pt>
                <c:pt idx="874">
                  <c:v>36.835800000001399</c:v>
                </c:pt>
                <c:pt idx="875">
                  <c:v>36.835900000001402</c:v>
                </c:pt>
                <c:pt idx="876">
                  <c:v>36.836000000001405</c:v>
                </c:pt>
                <c:pt idx="877">
                  <c:v>36.836100000001409</c:v>
                </c:pt>
                <c:pt idx="878">
                  <c:v>36.836200000001412</c:v>
                </c:pt>
                <c:pt idx="879">
                  <c:v>36.836300000001415</c:v>
                </c:pt>
                <c:pt idx="880">
                  <c:v>36.836400000001419</c:v>
                </c:pt>
                <c:pt idx="881">
                  <c:v>36.836500000001422</c:v>
                </c:pt>
                <c:pt idx="882">
                  <c:v>36.836600000001425</c:v>
                </c:pt>
                <c:pt idx="883">
                  <c:v>36.836700000001429</c:v>
                </c:pt>
                <c:pt idx="884">
                  <c:v>36.836800000001432</c:v>
                </c:pt>
                <c:pt idx="885">
                  <c:v>36.836900000001435</c:v>
                </c:pt>
                <c:pt idx="886">
                  <c:v>36.837000000001439</c:v>
                </c:pt>
                <c:pt idx="887">
                  <c:v>36.837100000001442</c:v>
                </c:pt>
                <c:pt idx="888">
                  <c:v>36.837200000001445</c:v>
                </c:pt>
                <c:pt idx="889">
                  <c:v>36.837300000001449</c:v>
                </c:pt>
                <c:pt idx="890">
                  <c:v>36.837400000001452</c:v>
                </c:pt>
                <c:pt idx="891">
                  <c:v>36.837500000001455</c:v>
                </c:pt>
                <c:pt idx="892">
                  <c:v>36.837600000001459</c:v>
                </c:pt>
                <c:pt idx="893">
                  <c:v>36.837700000001462</c:v>
                </c:pt>
                <c:pt idx="894">
                  <c:v>36.837800000001465</c:v>
                </c:pt>
                <c:pt idx="895">
                  <c:v>36.837900000001468</c:v>
                </c:pt>
                <c:pt idx="896">
                  <c:v>36.838000000001472</c:v>
                </c:pt>
                <c:pt idx="897">
                  <c:v>36.838100000001475</c:v>
                </c:pt>
                <c:pt idx="898">
                  <c:v>36.838200000001478</c:v>
                </c:pt>
                <c:pt idx="899">
                  <c:v>36.838300000001482</c:v>
                </c:pt>
                <c:pt idx="900">
                  <c:v>36.838400000001485</c:v>
                </c:pt>
                <c:pt idx="901">
                  <c:v>36.838500000001488</c:v>
                </c:pt>
                <c:pt idx="902">
                  <c:v>36.838600000001492</c:v>
                </c:pt>
                <c:pt idx="903">
                  <c:v>36.838700000001495</c:v>
                </c:pt>
                <c:pt idx="904">
                  <c:v>36.838800000001498</c:v>
                </c:pt>
                <c:pt idx="905">
                  <c:v>36.838900000001502</c:v>
                </c:pt>
                <c:pt idx="906">
                  <c:v>36.839000000001505</c:v>
                </c:pt>
                <c:pt idx="907">
                  <c:v>36.839100000001508</c:v>
                </c:pt>
                <c:pt idx="908">
                  <c:v>36.839200000001512</c:v>
                </c:pt>
                <c:pt idx="909">
                  <c:v>36.839300000001515</c:v>
                </c:pt>
                <c:pt idx="910">
                  <c:v>36.839400000001518</c:v>
                </c:pt>
                <c:pt idx="911">
                  <c:v>36.839500000001522</c:v>
                </c:pt>
                <c:pt idx="912">
                  <c:v>36.839600000001525</c:v>
                </c:pt>
                <c:pt idx="913">
                  <c:v>36.839700000001528</c:v>
                </c:pt>
                <c:pt idx="914">
                  <c:v>36.839800000001532</c:v>
                </c:pt>
                <c:pt idx="915">
                  <c:v>36.839900000001535</c:v>
                </c:pt>
                <c:pt idx="916">
                  <c:v>36.840000000001538</c:v>
                </c:pt>
                <c:pt idx="917">
                  <c:v>36.840100000001542</c:v>
                </c:pt>
                <c:pt idx="918">
                  <c:v>36.840200000001545</c:v>
                </c:pt>
                <c:pt idx="919">
                  <c:v>36.840300000001548</c:v>
                </c:pt>
                <c:pt idx="920">
                  <c:v>36.840400000001551</c:v>
                </c:pt>
                <c:pt idx="921">
                  <c:v>36.840500000001555</c:v>
                </c:pt>
                <c:pt idx="922">
                  <c:v>36.840600000001558</c:v>
                </c:pt>
                <c:pt idx="923">
                  <c:v>36.840700000001561</c:v>
                </c:pt>
                <c:pt idx="924">
                  <c:v>36.840800000001565</c:v>
                </c:pt>
                <c:pt idx="925">
                  <c:v>36.840900000001568</c:v>
                </c:pt>
                <c:pt idx="926">
                  <c:v>36.841000000001571</c:v>
                </c:pt>
                <c:pt idx="927">
                  <c:v>36.841100000001575</c:v>
                </c:pt>
                <c:pt idx="928">
                  <c:v>36.841200000001578</c:v>
                </c:pt>
                <c:pt idx="929">
                  <c:v>36.841300000001581</c:v>
                </c:pt>
                <c:pt idx="930">
                  <c:v>36.841400000001585</c:v>
                </c:pt>
                <c:pt idx="931">
                  <c:v>36.841500000001588</c:v>
                </c:pt>
                <c:pt idx="932">
                  <c:v>36.841600000001591</c:v>
                </c:pt>
                <c:pt idx="933">
                  <c:v>36.841700000001595</c:v>
                </c:pt>
                <c:pt idx="934">
                  <c:v>36.841800000001598</c:v>
                </c:pt>
                <c:pt idx="935">
                  <c:v>36.841900000001601</c:v>
                </c:pt>
                <c:pt idx="936">
                  <c:v>36.842000000001605</c:v>
                </c:pt>
                <c:pt idx="937">
                  <c:v>36.842100000001608</c:v>
                </c:pt>
                <c:pt idx="938">
                  <c:v>36.842200000001611</c:v>
                </c:pt>
                <c:pt idx="939">
                  <c:v>36.842300000001615</c:v>
                </c:pt>
                <c:pt idx="940">
                  <c:v>36.842400000001618</c:v>
                </c:pt>
                <c:pt idx="941">
                  <c:v>36.842500000001621</c:v>
                </c:pt>
                <c:pt idx="942">
                  <c:v>36.842600000001624</c:v>
                </c:pt>
                <c:pt idx="943">
                  <c:v>36.842700000001628</c:v>
                </c:pt>
                <c:pt idx="944">
                  <c:v>36.842800000001631</c:v>
                </c:pt>
                <c:pt idx="945">
                  <c:v>36.842900000001634</c:v>
                </c:pt>
                <c:pt idx="946">
                  <c:v>36.843000000001638</c:v>
                </c:pt>
                <c:pt idx="947">
                  <c:v>36.843100000001641</c:v>
                </c:pt>
                <c:pt idx="948">
                  <c:v>36.843200000001644</c:v>
                </c:pt>
                <c:pt idx="949">
                  <c:v>36.843300000001648</c:v>
                </c:pt>
                <c:pt idx="950">
                  <c:v>36.843400000001651</c:v>
                </c:pt>
                <c:pt idx="951">
                  <c:v>36.843500000001654</c:v>
                </c:pt>
                <c:pt idx="952">
                  <c:v>36.843600000001658</c:v>
                </c:pt>
                <c:pt idx="953">
                  <c:v>36.843700000001661</c:v>
                </c:pt>
                <c:pt idx="954">
                  <c:v>36.843800000001664</c:v>
                </c:pt>
                <c:pt idx="955">
                  <c:v>36.843900000001668</c:v>
                </c:pt>
                <c:pt idx="956">
                  <c:v>36.844000000001671</c:v>
                </c:pt>
                <c:pt idx="957">
                  <c:v>36.844100000001674</c:v>
                </c:pt>
                <c:pt idx="958">
                  <c:v>36.844200000001678</c:v>
                </c:pt>
                <c:pt idx="959">
                  <c:v>36.844300000001681</c:v>
                </c:pt>
                <c:pt idx="960">
                  <c:v>36.844400000001684</c:v>
                </c:pt>
                <c:pt idx="961">
                  <c:v>36.844500000001688</c:v>
                </c:pt>
                <c:pt idx="962">
                  <c:v>36.844600000001691</c:v>
                </c:pt>
                <c:pt idx="963">
                  <c:v>36.844700000001694</c:v>
                </c:pt>
                <c:pt idx="964">
                  <c:v>36.844800000001698</c:v>
                </c:pt>
                <c:pt idx="965">
                  <c:v>36.844900000001701</c:v>
                </c:pt>
                <c:pt idx="966">
                  <c:v>36.845000000001704</c:v>
                </c:pt>
                <c:pt idx="967">
                  <c:v>36.845100000001707</c:v>
                </c:pt>
                <c:pt idx="968">
                  <c:v>36.845200000001711</c:v>
                </c:pt>
                <c:pt idx="969">
                  <c:v>36.845300000001714</c:v>
                </c:pt>
                <c:pt idx="970">
                  <c:v>36.845400000001717</c:v>
                </c:pt>
                <c:pt idx="971">
                  <c:v>36.845500000001721</c:v>
                </c:pt>
                <c:pt idx="972">
                  <c:v>36.845600000001724</c:v>
                </c:pt>
                <c:pt idx="973">
                  <c:v>36.845700000001727</c:v>
                </c:pt>
                <c:pt idx="974">
                  <c:v>36.845800000001731</c:v>
                </c:pt>
                <c:pt idx="975">
                  <c:v>36.845900000001734</c:v>
                </c:pt>
                <c:pt idx="976">
                  <c:v>36.846000000001737</c:v>
                </c:pt>
                <c:pt idx="977">
                  <c:v>36.846100000001741</c:v>
                </c:pt>
                <c:pt idx="978">
                  <c:v>36.846200000001744</c:v>
                </c:pt>
                <c:pt idx="979">
                  <c:v>36.846300000001747</c:v>
                </c:pt>
                <c:pt idx="980">
                  <c:v>36.846400000001751</c:v>
                </c:pt>
                <c:pt idx="981">
                  <c:v>36.846500000001754</c:v>
                </c:pt>
                <c:pt idx="982">
                  <c:v>36.846600000001757</c:v>
                </c:pt>
                <c:pt idx="983">
                  <c:v>36.846700000001761</c:v>
                </c:pt>
                <c:pt idx="984">
                  <c:v>36.846800000001764</c:v>
                </c:pt>
                <c:pt idx="985">
                  <c:v>36.846900000001767</c:v>
                </c:pt>
                <c:pt idx="986">
                  <c:v>36.847000000001771</c:v>
                </c:pt>
                <c:pt idx="987">
                  <c:v>36.847100000001774</c:v>
                </c:pt>
                <c:pt idx="988">
                  <c:v>36.847200000001777</c:v>
                </c:pt>
                <c:pt idx="989">
                  <c:v>36.847300000001781</c:v>
                </c:pt>
                <c:pt idx="990">
                  <c:v>36.847400000001784</c:v>
                </c:pt>
                <c:pt idx="991">
                  <c:v>36.847500000001787</c:v>
                </c:pt>
                <c:pt idx="992">
                  <c:v>36.84760000000179</c:v>
                </c:pt>
                <c:pt idx="993">
                  <c:v>36.847700000001794</c:v>
                </c:pt>
                <c:pt idx="994">
                  <c:v>36.847800000001797</c:v>
                </c:pt>
                <c:pt idx="995">
                  <c:v>36.8479000000018</c:v>
                </c:pt>
                <c:pt idx="996">
                  <c:v>36.848000000001804</c:v>
                </c:pt>
                <c:pt idx="997">
                  <c:v>36.848100000001807</c:v>
                </c:pt>
                <c:pt idx="998">
                  <c:v>36.84820000000181</c:v>
                </c:pt>
                <c:pt idx="999">
                  <c:v>36.848300000001814</c:v>
                </c:pt>
                <c:pt idx="1000">
                  <c:v>36.848400000001817</c:v>
                </c:pt>
              </c:numCache>
            </c:numRef>
          </c:xVal>
          <c:yVal>
            <c:numRef>
              <c:f>Calculs!$J$4:$J$1004</c:f>
              <c:numCache>
                <c:formatCode>0.00</c:formatCode>
                <c:ptCount val="1001"/>
                <c:pt idx="0">
                  <c:v>100.55190764607381</c:v>
                </c:pt>
                <c:pt idx="1">
                  <c:v>100.92604486455873</c:v>
                </c:pt>
                <c:pt idx="2">
                  <c:v>101.30053271825916</c:v>
                </c:pt>
                <c:pt idx="3">
                  <c:v>101.67598716392254</c:v>
                </c:pt>
                <c:pt idx="4">
                  <c:v>102.05251987376249</c:v>
                </c:pt>
                <c:pt idx="5">
                  <c:v>102.43002369811185</c:v>
                </c:pt>
                <c:pt idx="6">
                  <c:v>102.80845818181649</c:v>
                </c:pt>
                <c:pt idx="7">
                  <c:v>103.18781622245535</c:v>
                </c:pt>
                <c:pt idx="8">
                  <c:v>103.56809072005159</c:v>
                </c:pt>
                <c:pt idx="9">
                  <c:v>103.94927457724636</c:v>
                </c:pt>
                <c:pt idx="10">
                  <c:v>104.33136069947048</c:v>
                </c:pt>
                <c:pt idx="11">
                  <c:v>104.71434199511383</c:v>
                </c:pt>
                <c:pt idx="12">
                  <c:v>105.09821137569259</c:v>
                </c:pt>
                <c:pt idx="13">
                  <c:v>105.4829617560143</c:v>
                </c:pt>
                <c:pt idx="14">
                  <c:v>105.86858605434081</c:v>
                </c:pt>
                <c:pt idx="15">
                  <c:v>106.25507719254892</c:v>
                </c:pt>
                <c:pt idx="16">
                  <c:v>106.64242809628905</c:v>
                </c:pt>
                <c:pt idx="17">
                  <c:v>107.03063169514164</c:v>
                </c:pt>
                <c:pt idx="18">
                  <c:v>107.41968092277142</c:v>
                </c:pt>
                <c:pt idx="19">
                  <c:v>107.80956871707967</c:v>
                </c:pt>
                <c:pt idx="20">
                  <c:v>108.20028802035418</c:v>
                </c:pt>
                <c:pt idx="21">
                  <c:v>108.59183177941725</c:v>
                </c:pt>
                <c:pt idx="22">
                  <c:v>108.98419294577151</c:v>
                </c:pt>
                <c:pt idx="23">
                  <c:v>109.3773644757437</c:v>
                </c:pt>
                <c:pt idx="24">
                  <c:v>109.77133933062629</c:v>
                </c:pt>
                <c:pt idx="25">
                  <c:v>110.1661104768171</c:v>
                </c:pt>
                <c:pt idx="26">
                  <c:v>110.56167088595679</c:v>
                </c:pt>
                <c:pt idx="27">
                  <c:v>110.95801353506437</c:v>
                </c:pt>
                <c:pt idx="28">
                  <c:v>111.35513140667058</c:v>
                </c:pt>
                <c:pt idx="29">
                  <c:v>111.75301748894931</c:v>
                </c:pt>
                <c:pt idx="30">
                  <c:v>112.15166477584688</c:v>
                </c:pt>
                <c:pt idx="31">
                  <c:v>112.55106626720945</c:v>
                </c:pt>
                <c:pt idx="32">
                  <c:v>112.95121496890829</c:v>
                </c:pt>
                <c:pt idx="33">
                  <c:v>113.3521038929631</c:v>
                </c:pt>
                <c:pt idx="34">
                  <c:v>113.75372605766337</c:v>
                </c:pt>
                <c:pt idx="35">
                  <c:v>114.15607448768768</c:v>
                </c:pt>
                <c:pt idx="36">
                  <c:v>114.55914221422111</c:v>
                </c:pt>
                <c:pt idx="37">
                  <c:v>114.96292227507065</c:v>
                </c:pt>
                <c:pt idx="38">
                  <c:v>115.36740771477865</c:v>
                </c:pt>
                <c:pt idx="39">
                  <c:v>115.77259158473436</c:v>
                </c:pt>
                <c:pt idx="40">
                  <c:v>116.17846694328348</c:v>
                </c:pt>
                <c:pt idx="41">
                  <c:v>116.58502685583589</c:v>
                </c:pt>
                <c:pt idx="42">
                  <c:v>116.99226439497134</c:v>
                </c:pt>
                <c:pt idx="43">
                  <c:v>117.40017264054339</c:v>
                </c:pt>
                <c:pt idx="44">
                  <c:v>117.80874467978127</c:v>
                </c:pt>
                <c:pt idx="45">
                  <c:v>118.21797360739008</c:v>
                </c:pt>
                <c:pt idx="46">
                  <c:v>118.62785252564893</c:v>
                </c:pt>
                <c:pt idx="47">
                  <c:v>119.03837454450735</c:v>
                </c:pt>
                <c:pt idx="48">
                  <c:v>119.44953278167975</c:v>
                </c:pt>
                <c:pt idx="49">
                  <c:v>119.86132036273816</c:v>
                </c:pt>
                <c:pt idx="50">
                  <c:v>120.273730421203</c:v>
                </c:pt>
                <c:pt idx="51">
                  <c:v>120.68675609863219</c:v>
                </c:pt>
                <c:pt idx="52">
                  <c:v>121.10039054470833</c:v>
                </c:pt>
                <c:pt idx="53">
                  <c:v>121.51462691732415</c:v>
                </c:pt>
                <c:pt idx="54">
                  <c:v>121.92945838266617</c:v>
                </c:pt>
                <c:pt idx="55">
                  <c:v>122.34487811529654</c:v>
                </c:pt>
                <c:pt idx="56">
                  <c:v>122.76087929823318</c:v>
                </c:pt>
                <c:pt idx="57">
                  <c:v>123.17745512302817</c:v>
                </c:pt>
                <c:pt idx="58">
                  <c:v>123.59459878984433</c:v>
                </c:pt>
                <c:pt idx="59">
                  <c:v>124.01230350753013</c:v>
                </c:pt>
                <c:pt idx="60">
                  <c:v>124.4305624936929</c:v>
                </c:pt>
                <c:pt idx="61">
                  <c:v>124.84936897477029</c:v>
                </c:pt>
                <c:pt idx="62">
                  <c:v>125.26871618609998</c:v>
                </c:pt>
                <c:pt idx="63">
                  <c:v>125.68859438057122</c:v>
                </c:pt>
                <c:pt idx="64">
                  <c:v>126.108987839015</c:v>
                </c:pt>
                <c:pt idx="65">
                  <c:v>126.52987786990754</c:v>
                </c:pt>
                <c:pt idx="66">
                  <c:v>126.95124580746118</c:v>
                </c:pt>
                <c:pt idx="67">
                  <c:v>127.3730702640584</c:v>
                </c:pt>
                <c:pt idx="68">
                  <c:v>127.79532438457059</c:v>
                </c:pt>
                <c:pt idx="69">
                  <c:v>128.21797371023965</c:v>
                </c:pt>
                <c:pt idx="70">
                  <c:v>128.640974044681</c:v>
                </c:pt>
                <c:pt idx="71">
                  <c:v>129.06427636208124</c:v>
                </c:pt>
                <c:pt idx="72">
                  <c:v>129.4878317120598</c:v>
                </c:pt>
                <c:pt idx="73">
                  <c:v>129.91159122129494</c:v>
                </c:pt>
                <c:pt idx="74">
                  <c:v>130.33550609507745</c:v>
                </c:pt>
                <c:pt idx="75">
                  <c:v>130.75952761879225</c:v>
                </c:pt>
                <c:pt idx="76">
                  <c:v>131.1836071593284</c:v>
                </c:pt>
                <c:pt idx="77">
                  <c:v>131.60769616641812</c:v>
                </c:pt>
                <c:pt idx="78">
                  <c:v>132.03174617390511</c:v>
                </c:pt>
                <c:pt idx="79">
                  <c:v>132.45570880094252</c:v>
                </c:pt>
                <c:pt idx="80">
                  <c:v>132.87953575312144</c:v>
                </c:pt>
                <c:pt idx="81">
                  <c:v>133.30318467901506</c:v>
                </c:pt>
                <c:pt idx="82">
                  <c:v>133.7266250188969</c:v>
                </c:pt>
                <c:pt idx="83">
                  <c:v>134.14983212745014</c:v>
                </c:pt>
                <c:pt idx="84">
                  <c:v>134.57278140377352</c:v>
                </c:pt>
                <c:pt idx="85">
                  <c:v>134.9954482914078</c:v>
                </c:pt>
                <c:pt idx="86">
                  <c:v>135.41780827834535</c:v>
                </c:pt>
                <c:pt idx="87">
                  <c:v>135.83983689702328</c:v>
                </c:pt>
                <c:pt idx="88">
                  <c:v>136.26150972430003</c:v>
                </c:pt>
                <c:pt idx="89">
                  <c:v>136.68280423903076</c:v>
                </c:pt>
                <c:pt idx="90">
                  <c:v>137.10370167695098</c:v>
                </c:pt>
                <c:pt idx="91">
                  <c:v>137.5241851655571</c:v>
                </c:pt>
                <c:pt idx="92">
                  <c:v>137.94423786162082</c:v>
                </c:pt>
                <c:pt idx="93">
                  <c:v>138.36384341646084</c:v>
                </c:pt>
                <c:pt idx="94">
                  <c:v>138.78298644052299</c:v>
                </c:pt>
                <c:pt idx="95">
                  <c:v>139.2016520359191</c:v>
                </c:pt>
                <c:pt idx="96">
                  <c:v>139.61982532964444</c:v>
                </c:pt>
                <c:pt idx="97">
                  <c:v>140.03749333908138</c:v>
                </c:pt>
                <c:pt idx="98">
                  <c:v>140.45464683471721</c:v>
                </c:pt>
                <c:pt idx="99">
                  <c:v>140.87127846675401</c:v>
                </c:pt>
                <c:pt idx="100">
                  <c:v>141.2873808945277</c:v>
                </c:pt>
                <c:pt idx="101">
                  <c:v>141.70294678638183</c:v>
                </c:pt>
                <c:pt idx="102">
                  <c:v>142.11796881954007</c:v>
                </c:pt>
                <c:pt idx="103">
                  <c:v>142.53243967997801</c:v>
                </c:pt>
                <c:pt idx="104">
                  <c:v>142.94635206229387</c:v>
                </c:pt>
                <c:pt idx="105">
                  <c:v>143.35969866957822</c:v>
                </c:pt>
                <c:pt idx="106">
                  <c:v>143.77247221328292</c:v>
                </c:pt>
                <c:pt idx="107">
                  <c:v>144.18466541308885</c:v>
                </c:pt>
                <c:pt idx="108">
                  <c:v>144.59627099677289</c:v>
                </c:pt>
                <c:pt idx="109">
                  <c:v>145.00728404689499</c:v>
                </c:pt>
                <c:pt idx="110">
                  <c:v>145.41770434404177</c:v>
                </c:pt>
                <c:pt idx="111">
                  <c:v>145.82753401061197</c:v>
                </c:pt>
                <c:pt idx="112">
                  <c:v>146.23677515814998</c:v>
                </c:pt>
                <c:pt idx="113">
                  <c:v>146.64542988742096</c:v>
                </c:pt>
                <c:pt idx="114">
                  <c:v>147.05350028848534</c:v>
                </c:pt>
                <c:pt idx="115">
                  <c:v>147.46098844077258</c:v>
                </c:pt>
                <c:pt idx="116">
                  <c:v>147.8678964131544</c:v>
                </c:pt>
                <c:pt idx="117">
                  <c:v>148.2742262640173</c:v>
                </c:pt>
                <c:pt idx="118">
                  <c:v>148.67998004133457</c:v>
                </c:pt>
                <c:pt idx="119">
                  <c:v>149.08515978273752</c:v>
                </c:pt>
                <c:pt idx="120">
                  <c:v>149.48976751558621</c:v>
                </c:pt>
                <c:pt idx="121">
                  <c:v>149.89380525703956</c:v>
                </c:pt>
                <c:pt idx="122">
                  <c:v>150.29727501412481</c:v>
                </c:pt>
                <c:pt idx="123">
                  <c:v>150.70017878380648</c:v>
                </c:pt>
                <c:pt idx="124">
                  <c:v>151.10251855305464</c:v>
                </c:pt>
                <c:pt idx="125">
                  <c:v>151.50429629891272</c:v>
                </c:pt>
                <c:pt idx="126">
                  <c:v>151.90551398856459</c:v>
                </c:pt>
                <c:pt idx="127">
                  <c:v>152.30617357940119</c:v>
                </c:pt>
                <c:pt idx="128">
                  <c:v>152.7062770190866</c:v>
                </c:pt>
                <c:pt idx="129">
                  <c:v>153.10582624562343</c:v>
                </c:pt>
                <c:pt idx="130">
                  <c:v>153.50482318741786</c:v>
                </c:pt>
                <c:pt idx="131">
                  <c:v>153.90326976334393</c:v>
                </c:pt>
                <c:pt idx="132">
                  <c:v>154.30116788280739</c:v>
                </c:pt>
                <c:pt idx="133">
                  <c:v>154.69851944580904</c:v>
                </c:pt>
                <c:pt idx="134">
                  <c:v>155.09532634300746</c:v>
                </c:pt>
                <c:pt idx="135">
                  <c:v>155.49159045578125</c:v>
                </c:pt>
                <c:pt idx="136">
                  <c:v>155.88731365629087</c:v>
                </c:pt>
                <c:pt idx="137">
                  <c:v>156.28249780753973</c:v>
                </c:pt>
                <c:pt idx="138">
                  <c:v>156.67714476343491</c:v>
                </c:pt>
                <c:pt idx="139">
                  <c:v>157.07125636884746</c:v>
                </c:pt>
                <c:pt idx="140">
                  <c:v>157.46483445967201</c:v>
                </c:pt>
                <c:pt idx="141">
                  <c:v>157.85788086288599</c:v>
                </c:pt>
                <c:pt idx="142">
                  <c:v>158.25039739660841</c:v>
                </c:pt>
                <c:pt idx="143">
                  <c:v>158.64238587015808</c:v>
                </c:pt>
                <c:pt idx="144">
                  <c:v>159.03384808411133</c:v>
                </c:pt>
                <c:pt idx="145">
                  <c:v>159.4247858303593</c:v>
                </c:pt>
                <c:pt idx="146">
                  <c:v>159.81520089216482</c:v>
                </c:pt>
                <c:pt idx="147">
                  <c:v>160.20509504421872</c:v>
                </c:pt>
                <c:pt idx="148">
                  <c:v>160.5944700526957</c:v>
                </c:pt>
                <c:pt idx="149">
                  <c:v>160.98332767530977</c:v>
                </c:pt>
                <c:pt idx="150">
                  <c:v>161.37166966136928</c:v>
                </c:pt>
                <c:pt idx="151">
                  <c:v>161.75949775183142</c:v>
                </c:pt>
                <c:pt idx="152">
                  <c:v>162.14681367935631</c:v>
                </c:pt>
                <c:pt idx="153">
                  <c:v>162.53361916836067</c:v>
                </c:pt>
                <c:pt idx="154">
                  <c:v>162.91991593507103</c:v>
                </c:pt>
                <c:pt idx="155">
                  <c:v>163.30570568757653</c:v>
                </c:pt>
                <c:pt idx="156">
                  <c:v>163.69099012588129</c:v>
                </c:pt>
                <c:pt idx="157">
                  <c:v>164.07577094195631</c:v>
                </c:pt>
                <c:pt idx="158">
                  <c:v>164.4600498197911</c:v>
                </c:pt>
                <c:pt idx="159">
                  <c:v>164.84382843544466</c:v>
                </c:pt>
                <c:pt idx="160">
                  <c:v>165.22710845709634</c:v>
                </c:pt>
                <c:pt idx="161">
                  <c:v>165.60989154509593</c:v>
                </c:pt>
                <c:pt idx="162">
                  <c:v>165.99217935201381</c:v>
                </c:pt>
                <c:pt idx="163">
                  <c:v>166.37397352269019</c:v>
                </c:pt>
                <c:pt idx="164">
                  <c:v>166.75527569428442</c:v>
                </c:pt>
                <c:pt idx="165">
                  <c:v>167.1360874963236</c:v>
                </c:pt>
                <c:pt idx="166">
                  <c:v>167.51641055075095</c:v>
                </c:pt>
                <c:pt idx="167">
                  <c:v>167.89624647197371</c:v>
                </c:pt>
                <c:pt idx="168">
                  <c:v>168.2755968669108</c:v>
                </c:pt>
                <c:pt idx="169">
                  <c:v>168.65446333503988</c:v>
                </c:pt>
                <c:pt idx="170">
                  <c:v>169.03284746844426</c:v>
                </c:pt>
                <c:pt idx="171">
                  <c:v>169.41075085185935</c:v>
                </c:pt>
                <c:pt idx="172">
                  <c:v>169.78817506271872</c:v>
                </c:pt>
                <c:pt idx="173">
                  <c:v>170.16512167119981</c:v>
                </c:pt>
                <c:pt idx="174">
                  <c:v>170.54159224026932</c:v>
                </c:pt>
                <c:pt idx="175">
                  <c:v>170.91758832572825</c:v>
                </c:pt>
                <c:pt idx="176">
                  <c:v>171.29311147625648</c:v>
                </c:pt>
                <c:pt idx="177">
                  <c:v>171.66816323345716</c:v>
                </c:pt>
                <c:pt idx="178">
                  <c:v>172.04274513190066</c:v>
                </c:pt>
                <c:pt idx="179">
                  <c:v>172.41685869916816</c:v>
                </c:pt>
                <c:pt idx="180">
                  <c:v>172.79050545589496</c:v>
                </c:pt>
                <c:pt idx="181">
                  <c:v>173.16368691581343</c:v>
                </c:pt>
                <c:pt idx="182">
                  <c:v>173.53640458579568</c:v>
                </c:pt>
                <c:pt idx="183">
                  <c:v>173.90865996589577</c:v>
                </c:pt>
                <c:pt idx="184">
                  <c:v>174.28045454939166</c:v>
                </c:pt>
                <c:pt idx="185">
                  <c:v>174.65178982282703</c:v>
                </c:pt>
                <c:pt idx="186">
                  <c:v>175.02266726605234</c:v>
                </c:pt>
                <c:pt idx="187">
                  <c:v>175.39308835226606</c:v>
                </c:pt>
                <c:pt idx="188">
                  <c:v>175.76305454805524</c:v>
                </c:pt>
                <c:pt idx="189">
                  <c:v>176.13256731343594</c:v>
                </c:pt>
                <c:pt idx="190">
                  <c:v>176.50162810189323</c:v>
                </c:pt>
                <c:pt idx="191">
                  <c:v>176.87023836042107</c:v>
                </c:pt>
                <c:pt idx="192">
                  <c:v>177.23839952956169</c:v>
                </c:pt>
                <c:pt idx="193">
                  <c:v>177.60611304344476</c:v>
                </c:pt>
                <c:pt idx="194">
                  <c:v>177.97338032982631</c:v>
                </c:pt>
                <c:pt idx="195">
                  <c:v>178.34020281012721</c:v>
                </c:pt>
                <c:pt idx="196">
                  <c:v>178.70658189947156</c:v>
                </c:pt>
                <c:pt idx="197">
                  <c:v>179.07251900672458</c:v>
                </c:pt>
                <c:pt idx="198">
                  <c:v>179.43801553453039</c:v>
                </c:pt>
                <c:pt idx="199">
                  <c:v>179.8030728793494</c:v>
                </c:pt>
                <c:pt idx="200">
                  <c:v>180.16769243149545</c:v>
                </c:pt>
                <c:pt idx="201">
                  <c:v>183.78991656323387</c:v>
                </c:pt>
                <c:pt idx="202">
                  <c:v>187.36925102188789</c:v>
                </c:pt>
                <c:pt idx="203">
                  <c:v>190.90703072043962</c:v>
                </c:pt>
                <c:pt idx="204">
                  <c:v>194.40453363445232</c:v>
                </c:pt>
                <c:pt idx="205">
                  <c:v>197.86298408047725</c:v>
                </c:pt>
                <c:pt idx="206">
                  <c:v>201.28355576112966</c:v>
                </c:pt>
                <c:pt idx="207">
                  <c:v>204.66737459658142</c:v>
                </c:pt>
                <c:pt idx="208">
                  <c:v>208.01552136028656</c:v>
                </c:pt>
                <c:pt idx="209">
                  <c:v>211.32903413503954</c:v>
                </c:pt>
                <c:pt idx="210">
                  <c:v>214.60891060393595</c:v>
                </c:pt>
                <c:pt idx="211">
                  <c:v>217.85611018943942</c:v>
                </c:pt>
                <c:pt idx="212">
                  <c:v>221.07155605253789</c:v>
                </c:pt>
                <c:pt idx="213">
                  <c:v>224.25613696287877</c:v>
                </c:pt>
                <c:pt idx="214">
                  <c:v>227.41070904979233</c:v>
                </c:pt>
                <c:pt idx="215">
                  <c:v>230.53609744323137</c:v>
                </c:pt>
                <c:pt idx="216">
                  <c:v>233.63309781286372</c:v>
                </c:pt>
                <c:pt idx="217">
                  <c:v>236.70247781283982</c:v>
                </c:pt>
                <c:pt idx="218">
                  <c:v>239.74497843911442</c:v>
                </c:pt>
                <c:pt idx="219">
                  <c:v>242.76131530561943</c:v>
                </c:pt>
                <c:pt idx="220">
                  <c:v>245.75217984505969</c:v>
                </c:pt>
                <c:pt idx="221">
                  <c:v>248.71824043962627</c:v>
                </c:pt>
                <c:pt idx="222">
                  <c:v>251.66014348649105</c:v>
                </c:pt>
                <c:pt idx="223">
                  <c:v>254.57851440255291</c:v>
                </c:pt>
                <c:pt idx="224">
                  <c:v>257.47395857255077</c:v>
                </c:pt>
                <c:pt idx="225">
                  <c:v>260.34706224433313</c:v>
                </c:pt>
                <c:pt idx="226">
                  <c:v>263.19839337477902</c:v>
                </c:pt>
                <c:pt idx="227">
                  <c:v>266.02850242959471</c:v>
                </c:pt>
                <c:pt idx="228">
                  <c:v>268.8379231399656</c:v>
                </c:pt>
                <c:pt idx="229">
                  <c:v>271.6271732188161</c:v>
                </c:pt>
                <c:pt idx="230">
                  <c:v>274.3967550392253</c:v>
                </c:pt>
                <c:pt idx="231">
                  <c:v>277.14715627735694</c:v>
                </c:pt>
                <c:pt idx="232">
                  <c:v>279.87885052208901</c:v>
                </c:pt>
                <c:pt idx="233">
                  <c:v>282.59229785336964</c:v>
                </c:pt>
                <c:pt idx="234">
                  <c:v>285.28794539117928</c:v>
                </c:pt>
                <c:pt idx="235">
                  <c:v>287.96622781684482</c:v>
                </c:pt>
                <c:pt idx="236">
                  <c:v>290.6275678683275</c:v>
                </c:pt>
                <c:pt idx="237">
                  <c:v>293.27237681099166</c:v>
                </c:pt>
                <c:pt idx="238">
                  <c:v>295.90105488525671</c:v>
                </c:pt>
                <c:pt idx="239">
                  <c:v>298.51399173243624</c:v>
                </c:pt>
                <c:pt idx="240">
                  <c:v>301.11156679997777</c:v>
                </c:pt>
                <c:pt idx="241">
                  <c:v>303.69414972723433</c:v>
                </c:pt>
                <c:pt idx="242">
                  <c:v>306.26210071281957</c:v>
                </c:pt>
                <c:pt idx="243">
                  <c:v>308.81577086452717</c:v>
                </c:pt>
                <c:pt idx="244">
                  <c:v>311.35550253272754</c:v>
                </c:pt>
                <c:pt idx="245">
                  <c:v>313.88162962809253</c:v>
                </c:pt>
                <c:pt idx="246">
                  <c:v>316.39447792444037</c:v>
                </c:pt>
                <c:pt idx="247">
                  <c:v>318.89436534743805</c:v>
                </c:pt>
                <c:pt idx="248">
                  <c:v>321.38160224984733</c:v>
                </c:pt>
                <c:pt idx="249">
                  <c:v>323.85649167395303</c:v>
                </c:pt>
                <c:pt idx="250">
                  <c:v>326.31932960176539</c:v>
                </c:pt>
                <c:pt idx="251">
                  <c:v>328.77040519354756</c:v>
                </c:pt>
                <c:pt idx="252">
                  <c:v>331.21000101517672</c:v>
                </c:pt>
                <c:pt idx="253">
                  <c:v>333.63839325481064</c:v>
                </c:pt>
                <c:pt idx="254">
                  <c:v>336.05585192929374</c:v>
                </c:pt>
                <c:pt idx="255">
                  <c:v>338.46264108070187</c:v>
                </c:pt>
                <c:pt idx="256">
                  <c:v>340.8590189633918</c:v>
                </c:pt>
                <c:pt idx="257">
                  <c:v>343.2452382218886</c:v>
                </c:pt>
                <c:pt idx="258">
                  <c:v>345.62154605991253</c:v>
                </c:pt>
                <c:pt idx="259">
                  <c:v>347.98818440081652</c:v>
                </c:pt>
                <c:pt idx="260">
                  <c:v>350.34539003967592</c:v>
                </c:pt>
                <c:pt idx="261">
                  <c:v>352.69339478724123</c:v>
                </c:pt>
                <c:pt idx="262">
                  <c:v>355.03242560593679</c:v>
                </c:pt>
                <c:pt idx="263">
                  <c:v>357.36270473805843</c:v>
                </c:pt>
                <c:pt idx="264">
                  <c:v>359.68444982629381</c:v>
                </c:pt>
                <c:pt idx="265">
                  <c:v>361.99787402666072</c:v>
                </c:pt>
                <c:pt idx="266">
                  <c:v>364.30318611392727</c:v>
                </c:pt>
                <c:pt idx="267">
                  <c:v>366.60059057954942</c:v>
                </c:pt>
                <c:pt idx="268">
                  <c:v>368.89028772212879</c:v>
                </c:pt>
                <c:pt idx="269">
                  <c:v>371.17247373036327</c:v>
                </c:pt>
                <c:pt idx="270">
                  <c:v>373.44734075842916</c:v>
                </c:pt>
                <c:pt idx="271">
                  <c:v>375.71507699370085</c:v>
                </c:pt>
                <c:pt idx="272">
                  <c:v>377.97586671667887</c:v>
                </c:pt>
                <c:pt idx="273">
                  <c:v>380.22989035296206</c:v>
                </c:pt>
                <c:pt idx="274">
                  <c:v>382.47732451706202</c:v>
                </c:pt>
                <c:pt idx="275">
                  <c:v>384.7183420478213</c:v>
                </c:pt>
                <c:pt idx="276">
                  <c:v>386.95311203515917</c:v>
                </c:pt>
                <c:pt idx="277">
                  <c:v>389.18179983782915</c:v>
                </c:pt>
                <c:pt idx="278">
                  <c:v>391.40456709183655</c:v>
                </c:pt>
                <c:pt idx="279">
                  <c:v>393.6215717091269</c:v>
                </c:pt>
                <c:pt idx="280">
                  <c:v>395.83296786612266</c:v>
                </c:pt>
                <c:pt idx="281">
                  <c:v>398.03890598165566</c:v>
                </c:pt>
                <c:pt idx="282">
                  <c:v>400.23953268381831</c:v>
                </c:pt>
                <c:pt idx="283">
                  <c:v>402.43499076524182</c:v>
                </c:pt>
                <c:pt idx="284">
                  <c:v>404.62541912630496</c:v>
                </c:pt>
                <c:pt idx="285">
                  <c:v>406.81095270578851</c:v>
                </c:pt>
                <c:pt idx="286">
                  <c:v>408.99172239852169</c:v>
                </c:pt>
                <c:pt idx="287">
                  <c:v>411.16785495962404</c:v>
                </c:pt>
                <c:pt idx="288">
                  <c:v>413.33947289503453</c:v>
                </c:pt>
                <c:pt idx="289">
                  <c:v>415.50669433814721</c:v>
                </c:pt>
                <c:pt idx="290">
                  <c:v>417.66963291254706</c:v>
                </c:pt>
                <c:pt idx="291">
                  <c:v>419.82839758106729</c:v>
                </c:pt>
                <c:pt idx="292">
                  <c:v>421.98309248167914</c:v>
                </c:pt>
                <c:pt idx="293">
                  <c:v>424.13381675108155</c:v>
                </c:pt>
                <c:pt idx="294">
                  <c:v>426.28066433728497</c:v>
                </c:pt>
                <c:pt idx="295">
                  <c:v>428.42372380297883</c:v>
                </c:pt>
                <c:pt idx="296">
                  <c:v>430.56307812203073</c:v>
                </c:pt>
                <c:pt idx="297">
                  <c:v>432.69880447206924</c:v>
                </c:pt>
                <c:pt idx="298">
                  <c:v>434.83097402673098</c:v>
                </c:pt>
                <c:pt idx="299">
                  <c:v>436.95965175176741</c:v>
                </c:pt>
                <c:pt idx="300">
                  <c:v>439.08489620976701</c:v>
                </c:pt>
                <c:pt idx="301">
                  <c:v>441.20675937869822</c:v>
                </c:pt>
                <c:pt idx="302">
                  <c:v>443.32528648976074</c:v>
                </c:pt>
                <c:pt idx="303">
                  <c:v>445.44051589009445</c:v>
                </c:pt>
                <c:pt idx="304">
                  <c:v>447.55247893568651</c:v>
                </c:pt>
                <c:pt idx="305">
                  <c:v>449.66119991931424</c:v>
                </c:pt>
                <c:pt idx="306">
                  <c:v>451.7666960375584</c:v>
                </c:pt>
                <c:pt idx="307">
                  <c:v>453.86897739985028</c:v>
                </c:pt>
                <c:pt idx="308">
                  <c:v>455.96804708123244</c:v>
                </c:pt>
                <c:pt idx="309">
                  <c:v>458.06390121910442</c:v>
                </c:pt>
                <c:pt idx="310">
                  <c:v>460.15652915279145</c:v>
                </c:pt>
                <c:pt idx="311">
                  <c:v>462.24591360342214</c:v>
                </c:pt>
                <c:pt idx="312">
                  <c:v>464.33203089042553</c:v>
                </c:pt>
                <c:pt idx="313">
                  <c:v>466.41485118002981</c:v>
                </c:pt>
                <c:pt idx="314">
                  <c:v>468.49433876051268</c:v>
                </c:pt>
                <c:pt idx="315">
                  <c:v>470.57045233862374</c:v>
                </c:pt>
                <c:pt idx="316">
                  <c:v>472.6431453515612</c:v>
                </c:pt>
                <c:pt idx="317">
                  <c:v>474.71236628909401</c:v>
                </c:pt>
                <c:pt idx="318">
                  <c:v>476.77805902082838</c:v>
                </c:pt>
                <c:pt idx="319">
                  <c:v>478.84016312416077</c:v>
                </c:pt>
                <c:pt idx="320">
                  <c:v>480.8986142090838</c:v>
                </c:pt>
                <c:pt idx="321">
                  <c:v>482.95334423666549</c:v>
                </c:pt>
                <c:pt idx="322">
                  <c:v>485.00428182866494</c:v>
                </c:pt>
                <c:pt idx="323">
                  <c:v>487.05135256634929</c:v>
                </c:pt>
                <c:pt idx="324">
                  <c:v>489.09447927711966</c:v>
                </c:pt>
                <c:pt idx="325">
                  <c:v>491.13358230802447</c:v>
                </c:pt>
                <c:pt idx="326">
                  <c:v>493.16857978563678</c:v>
                </c:pt>
                <c:pt idx="327">
                  <c:v>495.19938786209701</c:v>
                </c:pt>
                <c:pt idx="328">
                  <c:v>497.22592094738206</c:v>
                </c:pt>
                <c:pt idx="329">
                  <c:v>499.24809192806066</c:v>
                </c:pt>
                <c:pt idx="330">
                  <c:v>501.26581237294204</c:v>
                </c:pt>
                <c:pt idx="331">
                  <c:v>503.2789927261303</c:v>
                </c:pt>
                <c:pt idx="332">
                  <c:v>505.28754248806581</c:v>
                </c:pt>
                <c:pt idx="333">
                  <c:v>507.29137038517496</c:v>
                </c:pt>
                <c:pt idx="334">
                  <c:v>509.29038452876921</c:v>
                </c:pt>
                <c:pt idx="335">
                  <c:v>511.28449256383493</c:v>
                </c:pt>
                <c:pt idx="336">
                  <c:v>513.27360180834501</c:v>
                </c:pt>
                <c:pt idx="337">
                  <c:v>515.25761938370215</c:v>
                </c:pt>
                <c:pt idx="338">
                  <c:v>517.23645233689865</c:v>
                </c:pt>
                <c:pt idx="339">
                  <c:v>519.2100077549461</c:v>
                </c:pt>
                <c:pt idx="340">
                  <c:v>521.178192872095</c:v>
                </c:pt>
                <c:pt idx="341">
                  <c:v>523.14091517033307</c:v>
                </c:pt>
                <c:pt idx="342">
                  <c:v>525.09808247361468</c:v>
                </c:pt>
                <c:pt idx="343">
                  <c:v>527.04960303624307</c:v>
                </c:pt>
                <c:pt idx="344">
                  <c:v>528.99538562579323</c:v>
                </c:pt>
                <c:pt idx="345">
                  <c:v>530.93533960093566</c:v>
                </c:pt>
                <c:pt idx="346">
                  <c:v>532.86937498449049</c:v>
                </c:pt>
                <c:pt idx="347">
                  <c:v>534.79740253201669</c:v>
                </c:pt>
                <c:pt idx="348">
                  <c:v>536.71933379621464</c:v>
                </c:pt>
                <c:pt idx="349">
                  <c:v>538.63508118739912</c:v>
                </c:pt>
                <c:pt idx="350">
                  <c:v>540.54455803027793</c:v>
                </c:pt>
                <c:pt idx="351">
                  <c:v>542.44767861725188</c:v>
                </c:pt>
                <c:pt idx="352">
                  <c:v>544.34435825843514</c:v>
                </c:pt>
                <c:pt idx="353">
                  <c:v>546.23451332857701</c:v>
                </c:pt>
                <c:pt idx="354">
                  <c:v>548.11806131105413</c:v>
                </c:pt>
                <c:pt idx="355">
                  <c:v>549.99492083908615</c:v>
                </c:pt>
                <c:pt idx="356">
                  <c:v>551.86501173431748</c:v>
                </c:pt>
                <c:pt idx="357">
                  <c:v>553.72825504289574</c:v>
                </c:pt>
                <c:pt idx="358">
                  <c:v>555.58457306916853</c:v>
                </c:pt>
                <c:pt idx="359">
                  <c:v>557.43388940710986</c:v>
                </c:pt>
                <c:pt idx="360">
                  <c:v>559.27612896958033</c:v>
                </c:pt>
                <c:pt idx="361">
                  <c:v>561.11121801551724</c:v>
                </c:pt>
                <c:pt idx="362">
                  <c:v>562.93908417514479</c:v>
                </c:pt>
                <c:pt idx="363">
                  <c:v>564.75965647328746</c:v>
                </c:pt>
                <c:pt idx="364">
                  <c:v>566.57286535086462</c:v>
                </c:pt>
                <c:pt idx="365">
                  <c:v>568.37864268463977</c:v>
                </c:pt>
                <c:pt idx="366">
                  <c:v>570.17692180529343</c:v>
                </c:pt>
                <c:pt idx="367">
                  <c:v>571.96763751388323</c:v>
                </c:pt>
                <c:pt idx="368">
                  <c:v>573.75072609675294</c:v>
                </c:pt>
                <c:pt idx="369">
                  <c:v>575.52612533894808</c:v>
                </c:pt>
                <c:pt idx="370">
                  <c:v>577.29377453619179</c:v>
                </c:pt>
                <c:pt idx="371">
                  <c:v>579.05361450547423</c:v>
                </c:pt>
                <c:pt idx="372">
                  <c:v>580.80558759430301</c:v>
                </c:pt>
                <c:pt idx="373">
                  <c:v>582.54963768866378</c:v>
                </c:pt>
                <c:pt idx="374">
                  <c:v>584.28571021973414</c:v>
                </c:pt>
                <c:pt idx="375">
                  <c:v>586.01375216939584</c:v>
                </c:pt>
                <c:pt idx="376">
                  <c:v>587.73371207458501</c:v>
                </c:pt>
                <c:pt idx="377">
                  <c:v>589.44554003052178</c:v>
                </c:pt>
                <c:pt idx="378">
                  <c:v>591.14918769285703</c:v>
                </c:pt>
                <c:pt idx="379">
                  <c:v>592.84460827877365</c:v>
                </c:pt>
                <c:pt idx="380">
                  <c:v>594.5317565670789</c:v>
                </c:pt>
                <c:pt idx="381">
                  <c:v>596.21058889732171</c:v>
                </c:pt>
                <c:pt idx="382">
                  <c:v>597.88106316796984</c:v>
                </c:pt>
                <c:pt idx="383">
                  <c:v>599.54313883367922</c:v>
                </c:pt>
                <c:pt idx="384">
                  <c:v>601.19677690168817</c:v>
                </c:pt>
                <c:pt idx="385">
                  <c:v>602.84193992736698</c:v>
                </c:pt>
                <c:pt idx="386">
                  <c:v>604.47859200895459</c:v>
                </c:pt>
                <c:pt idx="387">
                  <c:v>606.10669878151066</c:v>
                </c:pt>
                <c:pt idx="388">
                  <c:v>607.72622741011321</c:v>
                </c:pt>
                <c:pt idx="389">
                  <c:v>609.33714658233055</c:v>
                </c:pt>
                <c:pt idx="390">
                  <c:v>610.93942649999417</c:v>
                </c:pt>
                <c:pt idx="391">
                  <c:v>612.53303887030086</c:v>
                </c:pt>
                <c:pt idx="392">
                  <c:v>614.11795689627104</c:v>
                </c:pt>
                <c:pt idx="393">
                  <c:v>615.69415526658815</c:v>
                </c:pt>
                <c:pt idx="394">
                  <c:v>617.26161014484671</c:v>
                </c:pt>
                <c:pt idx="395">
                  <c:v>618.82029915823216</c:v>
                </c:pt>
                <c:pt idx="396">
                  <c:v>620.37020138565913</c:v>
                </c:pt>
                <c:pt idx="397">
                  <c:v>621.91129734539084</c:v>
                </c:pt>
                <c:pt idx="398">
                  <c:v>623.44356898216461</c:v>
                </c:pt>
                <c:pt idx="399">
                  <c:v>624.96699965384562</c:v>
                </c:pt>
                <c:pt idx="400">
                  <c:v>626.48157411763259</c:v>
                </c:pt>
                <c:pt idx="401">
                  <c:v>627.98727851583772</c:v>
                </c:pt>
                <c:pt idx="402">
                  <c:v>629.48410036126211</c:v>
                </c:pt>
                <c:pt idx="403">
                  <c:v>630.97202852218959</c:v>
                </c:pt>
                <c:pt idx="404">
                  <c:v>632.45105320701816</c:v>
                </c:pt>
                <c:pt idx="405">
                  <c:v>633.92116594855179</c:v>
                </c:pt>
                <c:pt idx="406">
                  <c:v>635.38235958797088</c:v>
                </c:pt>
                <c:pt idx="407">
                  <c:v>636.83462825850245</c:v>
                </c:pt>
                <c:pt idx="408">
                  <c:v>638.27796736880919</c:v>
                </c:pt>
                <c:pt idx="409">
                  <c:v>639.71237358611586</c:v>
                </c:pt>
                <c:pt idx="410">
                  <c:v>641.13784481909215</c:v>
                </c:pt>
                <c:pt idx="411">
                  <c:v>642.55438020050963</c:v>
                </c:pt>
                <c:pt idx="412">
                  <c:v>643.96198006969109</c:v>
                </c:pt>
                <c:pt idx="413">
                  <c:v>645.36064595476864</c:v>
                </c:pt>
                <c:pt idx="414">
                  <c:v>646.75038055476841</c:v>
                </c:pt>
                <c:pt idx="415">
                  <c:v>648.1311877215378</c:v>
                </c:pt>
                <c:pt idx="416">
                  <c:v>649.503072441531</c:v>
                </c:pt>
                <c:pt idx="417">
                  <c:v>650.8660408174693</c:v>
                </c:pt>
                <c:pt idx="418">
                  <c:v>652.22010004989011</c:v>
                </c:pt>
                <c:pt idx="419">
                  <c:v>653.56525841860093</c:v>
                </c:pt>
                <c:pt idx="420">
                  <c:v>654.90152526405143</c:v>
                </c:pt>
                <c:pt idx="421">
                  <c:v>656.22891096863827</c:v>
                </c:pt>
                <c:pt idx="422">
                  <c:v>657.54742693795606</c:v>
                </c:pt>
                <c:pt idx="423">
                  <c:v>658.8570855820077</c:v>
                </c:pt>
                <c:pt idx="424">
                  <c:v>660.15790029638652</c:v>
                </c:pt>
                <c:pt idx="425">
                  <c:v>661.44988544344335</c:v>
                </c:pt>
                <c:pt idx="426">
                  <c:v>662.73305633344933</c:v>
                </c:pt>
                <c:pt idx="427">
                  <c:v>664.00742920576761</c:v>
                </c:pt>
                <c:pt idx="428">
                  <c:v>665.27302121004334</c:v>
                </c:pt>
                <c:pt idx="429">
                  <c:v>666.52985038742429</c:v>
                </c:pt>
                <c:pt idx="430">
                  <c:v>667.77793565182208</c:v>
                </c:pt>
                <c:pt idx="431">
                  <c:v>669.01729677122319</c:v>
                </c:pt>
                <c:pt idx="432">
                  <c:v>670.24795434906093</c:v>
                </c:pt>
                <c:pt idx="433">
                  <c:v>671.46992980565676</c:v>
                </c:pt>
                <c:pt idx="434">
                  <c:v>672.68324535974</c:v>
                </c:pt>
                <c:pt idx="435">
                  <c:v>673.8879240100548</c:v>
                </c:pt>
                <c:pt idx="436">
                  <c:v>675.08398951706261</c:v>
                </c:pt>
                <c:pt idx="437">
                  <c:v>676.27146638474778</c:v>
                </c:pt>
                <c:pt idx="438">
                  <c:v>677.45037984253418</c:v>
                </c:pt>
                <c:pt idx="439">
                  <c:v>678.62075582732007</c:v>
                </c:pt>
                <c:pt idx="440">
                  <c:v>679.78262096563788</c:v>
                </c:pt>
                <c:pt idx="441">
                  <c:v>680.93600255594549</c:v>
                </c:pt>
                <c:pt idx="442">
                  <c:v>682.08092855105588</c:v>
                </c:pt>
                <c:pt idx="443">
                  <c:v>683.21742754071022</c:v>
                </c:pt>
                <c:pt idx="444">
                  <c:v>684.34552873430073</c:v>
                </c:pt>
                <c:pt idx="445">
                  <c:v>685.46526194374849</c:v>
                </c:pt>
                <c:pt idx="446">
                  <c:v>686.57665756654103</c:v>
                </c:pt>
                <c:pt idx="447">
                  <c:v>687.67974656893466</c:v>
                </c:pt>
                <c:pt idx="448">
                  <c:v>688.77456046932639</c:v>
                </c:pt>
                <c:pt idx="449">
                  <c:v>689.86113132179889</c:v>
                </c:pt>
                <c:pt idx="450">
                  <c:v>690.93949169984307</c:v>
                </c:pt>
                <c:pt idx="451">
                  <c:v>692.00967468026181</c:v>
                </c:pt>
                <c:pt idx="452">
                  <c:v>693.07171382725812</c:v>
                </c:pt>
                <c:pt idx="453">
                  <c:v>694.12564317671115</c:v>
                </c:pt>
                <c:pt idx="454">
                  <c:v>695.171497220643</c:v>
                </c:pt>
                <c:pt idx="455">
                  <c:v>696.209310891879</c:v>
                </c:pt>
                <c:pt idx="456">
                  <c:v>697.23911954890343</c:v>
                </c:pt>
                <c:pt idx="457">
                  <c:v>698.26095896091419</c:v>
                </c:pt>
                <c:pt idx="458">
                  <c:v>699.27486529307703</c:v>
                </c:pt>
                <c:pt idx="459">
                  <c:v>700.28087509198235</c:v>
                </c:pt>
                <c:pt idx="460">
                  <c:v>701.2790252713055</c:v>
                </c:pt>
                <c:pt idx="461">
                  <c:v>702.26935309767248</c:v>
                </c:pt>
                <c:pt idx="462">
                  <c:v>703.25189617673175</c:v>
                </c:pt>
                <c:pt idx="463">
                  <c:v>704.22669243943369</c:v>
                </c:pt>
                <c:pt idx="464">
                  <c:v>705.19378012851882</c:v>
                </c:pt>
                <c:pt idx="465">
                  <c:v>706.15319778521462</c:v>
                </c:pt>
                <c:pt idx="466">
                  <c:v>707.10498423614217</c:v>
                </c:pt>
                <c:pt idx="467">
                  <c:v>708.04917858043325</c:v>
                </c:pt>
                <c:pt idx="468">
                  <c:v>708.98582017705735</c:v>
                </c:pt>
                <c:pt idx="469">
                  <c:v>709.91494863235914</c:v>
                </c:pt>
                <c:pt idx="470">
                  <c:v>710.83660378780678</c:v>
                </c:pt>
                <c:pt idx="471">
                  <c:v>711.7508257079495</c:v>
                </c:pt>
                <c:pt idx="472">
                  <c:v>712.65765466858613</c:v>
                </c:pt>
                <c:pt idx="473">
                  <c:v>713.55713114514242</c:v>
                </c:pt>
                <c:pt idx="474">
                  <c:v>714.44929580125722</c:v>
                </c:pt>
                <c:pt idx="475">
                  <c:v>715.33418947757707</c:v>
                </c:pt>
                <c:pt idx="476">
                  <c:v>716.21185318075834</c:v>
                </c:pt>
                <c:pt idx="477">
                  <c:v>717.08232807267518</c:v>
                </c:pt>
                <c:pt idx="478">
                  <c:v>717.94565545983403</c:v>
                </c:pt>
                <c:pt idx="479">
                  <c:v>718.8018767829916</c:v>
                </c:pt>
                <c:pt idx="480">
                  <c:v>719.6510336069764</c:v>
                </c:pt>
                <c:pt idx="481">
                  <c:v>720.49316761071259</c:v>
                </c:pt>
                <c:pt idx="482">
                  <c:v>721.32832057744383</c:v>
                </c:pt>
                <c:pt idx="483">
                  <c:v>722.15653438515687</c:v>
                </c:pt>
                <c:pt idx="484">
                  <c:v>722.97785099720238</c:v>
                </c:pt>
                <c:pt idx="485">
                  <c:v>723.79231245311212</c:v>
                </c:pt>
                <c:pt idx="486">
                  <c:v>724.59996085961041</c:v>
                </c:pt>
                <c:pt idx="487">
                  <c:v>725.4008383818184</c:v>
                </c:pt>
                <c:pt idx="488">
                  <c:v>726.1949872346496</c:v>
                </c:pt>
                <c:pt idx="489">
                  <c:v>726.98244967439405</c:v>
                </c:pt>
                <c:pt idx="490">
                  <c:v>727.76326799049002</c:v>
                </c:pt>
                <c:pt idx="491">
                  <c:v>728.53748449748139</c:v>
                </c:pt>
                <c:pt idx="492">
                  <c:v>729.30514152715818</c:v>
                </c:pt>
                <c:pt idx="493">
                  <c:v>730.06628142087834</c:v>
                </c:pt>
                <c:pt idx="494">
                  <c:v>730.82094652206922</c:v>
                </c:pt>
                <c:pt idx="495">
                  <c:v>731.56917916890632</c:v>
                </c:pt>
                <c:pt idx="496">
                  <c:v>732.31102168716723</c:v>
                </c:pt>
                <c:pt idx="497">
                  <c:v>733.04651638325834</c:v>
                </c:pt>
                <c:pt idx="498">
                  <c:v>733.77570553741316</c:v>
                </c:pt>
                <c:pt idx="499">
                  <c:v>734.49863139705849</c:v>
                </c:pt>
                <c:pt idx="500">
                  <c:v>735.215336170348</c:v>
                </c:pt>
                <c:pt idx="501">
                  <c:v>735.92586201985932</c:v>
                </c:pt>
                <c:pt idx="502">
                  <c:v>736.63025105645397</c:v>
                </c:pt>
                <c:pt idx="503">
                  <c:v>737.32854533329623</c:v>
                </c:pt>
                <c:pt idx="504">
                  <c:v>738.0207868400305</c:v>
                </c:pt>
                <c:pt idx="505">
                  <c:v>738.70701749711316</c:v>
                </c:pt>
                <c:pt idx="506">
                  <c:v>739.38727915029801</c:v>
                </c:pt>
                <c:pt idx="507">
                  <c:v>740.06161356527173</c:v>
                </c:pt>
                <c:pt idx="508">
                  <c:v>740.73006242243878</c:v>
                </c:pt>
                <c:pt idx="509">
                  <c:v>741.39266731185114</c:v>
                </c:pt>
                <c:pt idx="510">
                  <c:v>742.04946972828316</c:v>
                </c:pt>
                <c:pt idx="511">
                  <c:v>742.70051106644701</c:v>
                </c:pt>
                <c:pt idx="512">
                  <c:v>743.34583261634782</c:v>
                </c:pt>
                <c:pt idx="513">
                  <c:v>743.98547555877565</c:v>
                </c:pt>
                <c:pt idx="514">
                  <c:v>744.61948096093238</c:v>
                </c:pt>
                <c:pt idx="515">
                  <c:v>745.24788977219066</c:v>
                </c:pt>
                <c:pt idx="516">
                  <c:v>745.87074281998321</c:v>
                </c:pt>
                <c:pt idx="517">
                  <c:v>745.87074281998321</c:v>
                </c:pt>
                <c:pt idx="518">
                  <c:v>745.87074281998321</c:v>
                </c:pt>
                <c:pt idx="519">
                  <c:v>745.87074281998321</c:v>
                </c:pt>
                <c:pt idx="520">
                  <c:v>745.87074281998321</c:v>
                </c:pt>
                <c:pt idx="521">
                  <c:v>745.87074281998321</c:v>
                </c:pt>
                <c:pt idx="522">
                  <c:v>745.87074281998321</c:v>
                </c:pt>
                <c:pt idx="523">
                  <c:v>745.87074281998321</c:v>
                </c:pt>
                <c:pt idx="524">
                  <c:v>745.87074281998321</c:v>
                </c:pt>
                <c:pt idx="525">
                  <c:v>745.87074281998321</c:v>
                </c:pt>
                <c:pt idx="526">
                  <c:v>745.87074281998321</c:v>
                </c:pt>
                <c:pt idx="527">
                  <c:v>745.87074281998321</c:v>
                </c:pt>
                <c:pt idx="528">
                  <c:v>745.87074281998321</c:v>
                </c:pt>
                <c:pt idx="529">
                  <c:v>745.87074281998321</c:v>
                </c:pt>
                <c:pt idx="530">
                  <c:v>745.87074281998321</c:v>
                </c:pt>
                <c:pt idx="531">
                  <c:v>745.87074281998321</c:v>
                </c:pt>
                <c:pt idx="532">
                  <c:v>745.87074281998321</c:v>
                </c:pt>
                <c:pt idx="533">
                  <c:v>745.87074281998321</c:v>
                </c:pt>
                <c:pt idx="534">
                  <c:v>745.87074281998321</c:v>
                </c:pt>
                <c:pt idx="535">
                  <c:v>745.87074281998321</c:v>
                </c:pt>
                <c:pt idx="536">
                  <c:v>745.87074281998321</c:v>
                </c:pt>
                <c:pt idx="537">
                  <c:v>745.87074281998321</c:v>
                </c:pt>
                <c:pt idx="538">
                  <c:v>745.87074281998321</c:v>
                </c:pt>
                <c:pt idx="539">
                  <c:v>745.87074281998321</c:v>
                </c:pt>
                <c:pt idx="540">
                  <c:v>745.87074281998321</c:v>
                </c:pt>
                <c:pt idx="541">
                  <c:v>745.87074281998321</c:v>
                </c:pt>
                <c:pt idx="542">
                  <c:v>745.87074281998321</c:v>
                </c:pt>
                <c:pt idx="543">
                  <c:v>745.87074281998321</c:v>
                </c:pt>
                <c:pt idx="544">
                  <c:v>745.87074281998321</c:v>
                </c:pt>
                <c:pt idx="545">
                  <c:v>745.87074281998321</c:v>
                </c:pt>
                <c:pt idx="546">
                  <c:v>745.87074281998321</c:v>
                </c:pt>
                <c:pt idx="547">
                  <c:v>745.87074281998321</c:v>
                </c:pt>
                <c:pt idx="548">
                  <c:v>745.87074281998321</c:v>
                </c:pt>
                <c:pt idx="549">
                  <c:v>745.87074281998321</c:v>
                </c:pt>
                <c:pt idx="550">
                  <c:v>745.87074281998321</c:v>
                </c:pt>
                <c:pt idx="551">
                  <c:v>745.87074281998321</c:v>
                </c:pt>
                <c:pt idx="552">
                  <c:v>745.87074281998321</c:v>
                </c:pt>
                <c:pt idx="553">
                  <c:v>745.87074281998321</c:v>
                </c:pt>
                <c:pt idx="554">
                  <c:v>745.87074281998321</c:v>
                </c:pt>
                <c:pt idx="555">
                  <c:v>745.87074281998321</c:v>
                </c:pt>
                <c:pt idx="556">
                  <c:v>745.87074281998321</c:v>
                </c:pt>
                <c:pt idx="557">
                  <c:v>745.87074281998321</c:v>
                </c:pt>
                <c:pt idx="558">
                  <c:v>745.87074281998321</c:v>
                </c:pt>
                <c:pt idx="559">
                  <c:v>745.87074281998321</c:v>
                </c:pt>
                <c:pt idx="560">
                  <c:v>745.87074281998321</c:v>
                </c:pt>
                <c:pt idx="561">
                  <c:v>745.87074281998321</c:v>
                </c:pt>
                <c:pt idx="562">
                  <c:v>745.87074281998321</c:v>
                </c:pt>
                <c:pt idx="563">
                  <c:v>745.87074281998321</c:v>
                </c:pt>
                <c:pt idx="564">
                  <c:v>745.87074281998321</c:v>
                </c:pt>
                <c:pt idx="565">
                  <c:v>745.87074281998321</c:v>
                </c:pt>
                <c:pt idx="566">
                  <c:v>745.87074281998321</c:v>
                </c:pt>
                <c:pt idx="567">
                  <c:v>745.87074281998321</c:v>
                </c:pt>
                <c:pt idx="568">
                  <c:v>745.87074281998321</c:v>
                </c:pt>
                <c:pt idx="569">
                  <c:v>745.87074281998321</c:v>
                </c:pt>
                <c:pt idx="570">
                  <c:v>745.87074281998321</c:v>
                </c:pt>
                <c:pt idx="571">
                  <c:v>745.87074281998321</c:v>
                </c:pt>
                <c:pt idx="572">
                  <c:v>745.87074281998321</c:v>
                </c:pt>
                <c:pt idx="573">
                  <c:v>745.87074281998321</c:v>
                </c:pt>
                <c:pt idx="574">
                  <c:v>745.87074281998321</c:v>
                </c:pt>
                <c:pt idx="575">
                  <c:v>745.87074281998321</c:v>
                </c:pt>
                <c:pt idx="576">
                  <c:v>745.87074281998321</c:v>
                </c:pt>
                <c:pt idx="577">
                  <c:v>745.87074281998321</c:v>
                </c:pt>
                <c:pt idx="578">
                  <c:v>745.87074281998321</c:v>
                </c:pt>
                <c:pt idx="579">
                  <c:v>745.87074281998321</c:v>
                </c:pt>
                <c:pt idx="580">
                  <c:v>745.87074281998321</c:v>
                </c:pt>
                <c:pt idx="581">
                  <c:v>745.87074281998321</c:v>
                </c:pt>
                <c:pt idx="582">
                  <c:v>745.87074281998321</c:v>
                </c:pt>
                <c:pt idx="583">
                  <c:v>745.87074281998321</c:v>
                </c:pt>
                <c:pt idx="584">
                  <c:v>745.87074281998321</c:v>
                </c:pt>
                <c:pt idx="585">
                  <c:v>745.87074281998321</c:v>
                </c:pt>
                <c:pt idx="586">
                  <c:v>745.87074281998321</c:v>
                </c:pt>
                <c:pt idx="587">
                  <c:v>745.87074281998321</c:v>
                </c:pt>
                <c:pt idx="588">
                  <c:v>745.87074281998321</c:v>
                </c:pt>
                <c:pt idx="589">
                  <c:v>745.87074281998321</c:v>
                </c:pt>
                <c:pt idx="590">
                  <c:v>745.87074281998321</c:v>
                </c:pt>
                <c:pt idx="591">
                  <c:v>745.87074281998321</c:v>
                </c:pt>
                <c:pt idx="592">
                  <c:v>745.87074281998321</c:v>
                </c:pt>
                <c:pt idx="593">
                  <c:v>745.87074281998321</c:v>
                </c:pt>
                <c:pt idx="594">
                  <c:v>745.87074281998321</c:v>
                </c:pt>
                <c:pt idx="595">
                  <c:v>745.87074281998321</c:v>
                </c:pt>
                <c:pt idx="596">
                  <c:v>745.87074281998321</c:v>
                </c:pt>
                <c:pt idx="597">
                  <c:v>745.87074281998321</c:v>
                </c:pt>
                <c:pt idx="598">
                  <c:v>745.87074281998321</c:v>
                </c:pt>
                <c:pt idx="599">
                  <c:v>745.87074281998321</c:v>
                </c:pt>
                <c:pt idx="600">
                  <c:v>745.87074281998321</c:v>
                </c:pt>
                <c:pt idx="601">
                  <c:v>745.87074281998321</c:v>
                </c:pt>
                <c:pt idx="602">
                  <c:v>745.87074281998321</c:v>
                </c:pt>
                <c:pt idx="603">
                  <c:v>745.87074281998321</c:v>
                </c:pt>
                <c:pt idx="604">
                  <c:v>745.87074281998321</c:v>
                </c:pt>
                <c:pt idx="605">
                  <c:v>745.87074281998321</c:v>
                </c:pt>
                <c:pt idx="606">
                  <c:v>745.87074281998321</c:v>
                </c:pt>
                <c:pt idx="607">
                  <c:v>745.87074281998321</c:v>
                </c:pt>
                <c:pt idx="608">
                  <c:v>745.87074281998321</c:v>
                </c:pt>
                <c:pt idx="609">
                  <c:v>745.87074281998321</c:v>
                </c:pt>
                <c:pt idx="610">
                  <c:v>745.87074281998321</c:v>
                </c:pt>
                <c:pt idx="611">
                  <c:v>745.87074281998321</c:v>
                </c:pt>
                <c:pt idx="612">
                  <c:v>745.87074281998321</c:v>
                </c:pt>
                <c:pt idx="613">
                  <c:v>745.87074281998321</c:v>
                </c:pt>
                <c:pt idx="614">
                  <c:v>745.87074281998321</c:v>
                </c:pt>
                <c:pt idx="615">
                  <c:v>745.87074281998321</c:v>
                </c:pt>
                <c:pt idx="616">
                  <c:v>745.87074281998321</c:v>
                </c:pt>
                <c:pt idx="617">
                  <c:v>745.87074281998321</c:v>
                </c:pt>
                <c:pt idx="618">
                  <c:v>745.87074281998321</c:v>
                </c:pt>
                <c:pt idx="619">
                  <c:v>745.87074281998321</c:v>
                </c:pt>
                <c:pt idx="620">
                  <c:v>745.87074281998321</c:v>
                </c:pt>
                <c:pt idx="621">
                  <c:v>745.87074281998321</c:v>
                </c:pt>
                <c:pt idx="622">
                  <c:v>745.87074281998321</c:v>
                </c:pt>
                <c:pt idx="623">
                  <c:v>745.87074281998321</c:v>
                </c:pt>
                <c:pt idx="624">
                  <c:v>745.87074281998321</c:v>
                </c:pt>
                <c:pt idx="625">
                  <c:v>745.87074281998321</c:v>
                </c:pt>
                <c:pt idx="626">
                  <c:v>745.87074281998321</c:v>
                </c:pt>
                <c:pt idx="627">
                  <c:v>745.87074281998321</c:v>
                </c:pt>
                <c:pt idx="628">
                  <c:v>745.87074281998321</c:v>
                </c:pt>
                <c:pt idx="629">
                  <c:v>745.87074281998321</c:v>
                </c:pt>
                <c:pt idx="630">
                  <c:v>745.87074281998321</c:v>
                </c:pt>
                <c:pt idx="631">
                  <c:v>745.87074281998321</c:v>
                </c:pt>
                <c:pt idx="632">
                  <c:v>745.87074281998321</c:v>
                </c:pt>
                <c:pt idx="633">
                  <c:v>745.87074281998321</c:v>
                </c:pt>
                <c:pt idx="634">
                  <c:v>745.87074281998321</c:v>
                </c:pt>
                <c:pt idx="635">
                  <c:v>745.87074281998321</c:v>
                </c:pt>
                <c:pt idx="636">
                  <c:v>745.87074281998321</c:v>
                </c:pt>
                <c:pt idx="637">
                  <c:v>745.87074281998321</c:v>
                </c:pt>
                <c:pt idx="638">
                  <c:v>745.87074281998321</c:v>
                </c:pt>
                <c:pt idx="639">
                  <c:v>745.87074281998321</c:v>
                </c:pt>
                <c:pt idx="640">
                  <c:v>745.87074281998321</c:v>
                </c:pt>
                <c:pt idx="641">
                  <c:v>745.87074281998321</c:v>
                </c:pt>
                <c:pt idx="642">
                  <c:v>745.87074281998321</c:v>
                </c:pt>
                <c:pt idx="643">
                  <c:v>745.87074281998321</c:v>
                </c:pt>
                <c:pt idx="644">
                  <c:v>745.87074281998321</c:v>
                </c:pt>
                <c:pt idx="645">
                  <c:v>745.87074281998321</c:v>
                </c:pt>
                <c:pt idx="646">
                  <c:v>745.87074281998321</c:v>
                </c:pt>
                <c:pt idx="647">
                  <c:v>745.87074281998321</c:v>
                </c:pt>
                <c:pt idx="648">
                  <c:v>745.87074281998321</c:v>
                </c:pt>
                <c:pt idx="649">
                  <c:v>745.87074281998321</c:v>
                </c:pt>
                <c:pt idx="650">
                  <c:v>745.87074281998321</c:v>
                </c:pt>
                <c:pt idx="651">
                  <c:v>745.87074281998321</c:v>
                </c:pt>
                <c:pt idx="652">
                  <c:v>745.87074281998321</c:v>
                </c:pt>
                <c:pt idx="653">
                  <c:v>745.87074281998321</c:v>
                </c:pt>
                <c:pt idx="654">
                  <c:v>745.87074281998321</c:v>
                </c:pt>
                <c:pt idx="655">
                  <c:v>745.87074281998321</c:v>
                </c:pt>
                <c:pt idx="656">
                  <c:v>745.87074281998321</c:v>
                </c:pt>
                <c:pt idx="657">
                  <c:v>745.87074281998321</c:v>
                </c:pt>
                <c:pt idx="658">
                  <c:v>745.87074281998321</c:v>
                </c:pt>
                <c:pt idx="659">
                  <c:v>745.87074281998321</c:v>
                </c:pt>
                <c:pt idx="660">
                  <c:v>745.87074281998321</c:v>
                </c:pt>
                <c:pt idx="661">
                  <c:v>745.87074281998321</c:v>
                </c:pt>
                <c:pt idx="662">
                  <c:v>745.87074281998321</c:v>
                </c:pt>
                <c:pt idx="663">
                  <c:v>745.87074281998321</c:v>
                </c:pt>
                <c:pt idx="664">
                  <c:v>745.87074281998321</c:v>
                </c:pt>
                <c:pt idx="665">
                  <c:v>745.87074281998321</c:v>
                </c:pt>
                <c:pt idx="666">
                  <c:v>745.87074281998321</c:v>
                </c:pt>
                <c:pt idx="667">
                  <c:v>745.87074281998321</c:v>
                </c:pt>
                <c:pt idx="668">
                  <c:v>745.87074281998321</c:v>
                </c:pt>
                <c:pt idx="669">
                  <c:v>745.87074281998321</c:v>
                </c:pt>
                <c:pt idx="670">
                  <c:v>745.87074281998321</c:v>
                </c:pt>
                <c:pt idx="671">
                  <c:v>745.87074281998321</c:v>
                </c:pt>
                <c:pt idx="672">
                  <c:v>745.87074281998321</c:v>
                </c:pt>
                <c:pt idx="673">
                  <c:v>745.87074281998321</c:v>
                </c:pt>
                <c:pt idx="674">
                  <c:v>745.87074281998321</c:v>
                </c:pt>
                <c:pt idx="675">
                  <c:v>745.87074281998321</c:v>
                </c:pt>
                <c:pt idx="676">
                  <c:v>745.87074281998321</c:v>
                </c:pt>
                <c:pt idx="677">
                  <c:v>745.87074281998321</c:v>
                </c:pt>
                <c:pt idx="678">
                  <c:v>745.87074281998321</c:v>
                </c:pt>
                <c:pt idx="679">
                  <c:v>745.87074281998321</c:v>
                </c:pt>
                <c:pt idx="680">
                  <c:v>745.87074281998321</c:v>
                </c:pt>
                <c:pt idx="681">
                  <c:v>745.87074281998321</c:v>
                </c:pt>
                <c:pt idx="682">
                  <c:v>745.87074281998321</c:v>
                </c:pt>
                <c:pt idx="683">
                  <c:v>745.87074281998321</c:v>
                </c:pt>
                <c:pt idx="684">
                  <c:v>745.87074281998321</c:v>
                </c:pt>
                <c:pt idx="685">
                  <c:v>745.87074281998321</c:v>
                </c:pt>
                <c:pt idx="686">
                  <c:v>745.87074281998321</c:v>
                </c:pt>
                <c:pt idx="687">
                  <c:v>745.87074281998321</c:v>
                </c:pt>
                <c:pt idx="688">
                  <c:v>745.87074281998321</c:v>
                </c:pt>
                <c:pt idx="689">
                  <c:v>745.87074281998321</c:v>
                </c:pt>
                <c:pt idx="690">
                  <c:v>745.87074281998321</c:v>
                </c:pt>
                <c:pt idx="691">
                  <c:v>745.87074281998321</c:v>
                </c:pt>
                <c:pt idx="692">
                  <c:v>745.87074281998321</c:v>
                </c:pt>
                <c:pt idx="693">
                  <c:v>745.87074281998321</c:v>
                </c:pt>
                <c:pt idx="694">
                  <c:v>745.87074281998321</c:v>
                </c:pt>
                <c:pt idx="695">
                  <c:v>745.87074281998321</c:v>
                </c:pt>
                <c:pt idx="696">
                  <c:v>745.87074281998321</c:v>
                </c:pt>
                <c:pt idx="697">
                  <c:v>745.87074281998321</c:v>
                </c:pt>
                <c:pt idx="698">
                  <c:v>745.87074281998321</c:v>
                </c:pt>
                <c:pt idx="699">
                  <c:v>745.87074281998321</c:v>
                </c:pt>
                <c:pt idx="700">
                  <c:v>745.87074281998321</c:v>
                </c:pt>
                <c:pt idx="701">
                  <c:v>745.87074281998321</c:v>
                </c:pt>
                <c:pt idx="702">
                  <c:v>745.87074281998321</c:v>
                </c:pt>
                <c:pt idx="703">
                  <c:v>745.87074281998321</c:v>
                </c:pt>
                <c:pt idx="704">
                  <c:v>745.87074281998321</c:v>
                </c:pt>
                <c:pt idx="705">
                  <c:v>745.87074281998321</c:v>
                </c:pt>
                <c:pt idx="706">
                  <c:v>745.87074281998321</c:v>
                </c:pt>
                <c:pt idx="707">
                  <c:v>745.87074281998321</c:v>
                </c:pt>
                <c:pt idx="708">
                  <c:v>745.87074281998321</c:v>
                </c:pt>
                <c:pt idx="709">
                  <c:v>745.87074281998321</c:v>
                </c:pt>
                <c:pt idx="710">
                  <c:v>745.87074281998321</c:v>
                </c:pt>
                <c:pt idx="711">
                  <c:v>745.87074281998321</c:v>
                </c:pt>
                <c:pt idx="712">
                  <c:v>745.87074281998321</c:v>
                </c:pt>
                <c:pt idx="713">
                  <c:v>745.87074281998321</c:v>
                </c:pt>
                <c:pt idx="714">
                  <c:v>745.87074281998321</c:v>
                </c:pt>
                <c:pt idx="715">
                  <c:v>745.87074281998321</c:v>
                </c:pt>
                <c:pt idx="716">
                  <c:v>745.87074281998321</c:v>
                </c:pt>
                <c:pt idx="717">
                  <c:v>745.87074281998321</c:v>
                </c:pt>
                <c:pt idx="718">
                  <c:v>745.87074281998321</c:v>
                </c:pt>
                <c:pt idx="719">
                  <c:v>745.87074281998321</c:v>
                </c:pt>
                <c:pt idx="720">
                  <c:v>745.87074281998321</c:v>
                </c:pt>
                <c:pt idx="721">
                  <c:v>745.87074281998321</c:v>
                </c:pt>
                <c:pt idx="722">
                  <c:v>745.87074281998321</c:v>
                </c:pt>
                <c:pt idx="723">
                  <c:v>745.87074281998321</c:v>
                </c:pt>
                <c:pt idx="724">
                  <c:v>745.87074281998321</c:v>
                </c:pt>
                <c:pt idx="725">
                  <c:v>745.87074281998321</c:v>
                </c:pt>
                <c:pt idx="726">
                  <c:v>745.87074281998321</c:v>
                </c:pt>
                <c:pt idx="727">
                  <c:v>745.87074281998321</c:v>
                </c:pt>
                <c:pt idx="728">
                  <c:v>745.87074281998321</c:v>
                </c:pt>
                <c:pt idx="729">
                  <c:v>745.87074281998321</c:v>
                </c:pt>
                <c:pt idx="730">
                  <c:v>745.87074281998321</c:v>
                </c:pt>
                <c:pt idx="731">
                  <c:v>745.87074281998321</c:v>
                </c:pt>
                <c:pt idx="732">
                  <c:v>745.87074281998321</c:v>
                </c:pt>
                <c:pt idx="733">
                  <c:v>745.87074281998321</c:v>
                </c:pt>
                <c:pt idx="734">
                  <c:v>745.87074281998321</c:v>
                </c:pt>
                <c:pt idx="735">
                  <c:v>745.87074281998321</c:v>
                </c:pt>
                <c:pt idx="736">
                  <c:v>745.87074281998321</c:v>
                </c:pt>
                <c:pt idx="737">
                  <c:v>745.87074281998321</c:v>
                </c:pt>
                <c:pt idx="738">
                  <c:v>745.87074281998321</c:v>
                </c:pt>
                <c:pt idx="739">
                  <c:v>745.87074281998321</c:v>
                </c:pt>
                <c:pt idx="740">
                  <c:v>745.87074281998321</c:v>
                </c:pt>
                <c:pt idx="741">
                  <c:v>745.87074281998321</c:v>
                </c:pt>
                <c:pt idx="742">
                  <c:v>745.87074281998321</c:v>
                </c:pt>
                <c:pt idx="743">
                  <c:v>745.87074281998321</c:v>
                </c:pt>
                <c:pt idx="744">
                  <c:v>745.87074281998321</c:v>
                </c:pt>
                <c:pt idx="745">
                  <c:v>745.87074281998321</c:v>
                </c:pt>
                <c:pt idx="746">
                  <c:v>745.87074281998321</c:v>
                </c:pt>
                <c:pt idx="747">
                  <c:v>745.87074281998321</c:v>
                </c:pt>
                <c:pt idx="748">
                  <c:v>745.87074281998321</c:v>
                </c:pt>
                <c:pt idx="749">
                  <c:v>745.87074281998321</c:v>
                </c:pt>
                <c:pt idx="750">
                  <c:v>745.87074281998321</c:v>
                </c:pt>
                <c:pt idx="751">
                  <c:v>745.87074281998321</c:v>
                </c:pt>
                <c:pt idx="752">
                  <c:v>745.87074281998321</c:v>
                </c:pt>
                <c:pt idx="753">
                  <c:v>745.87074281998321</c:v>
                </c:pt>
                <c:pt idx="754">
                  <c:v>745.87074281998321</c:v>
                </c:pt>
                <c:pt idx="755">
                  <c:v>745.87074281998321</c:v>
                </c:pt>
                <c:pt idx="756">
                  <c:v>745.87074281998321</c:v>
                </c:pt>
                <c:pt idx="757">
                  <c:v>745.87074281998321</c:v>
                </c:pt>
                <c:pt idx="758">
                  <c:v>745.87074281998321</c:v>
                </c:pt>
                <c:pt idx="759">
                  <c:v>745.87074281998321</c:v>
                </c:pt>
                <c:pt idx="760">
                  <c:v>745.87074281998321</c:v>
                </c:pt>
                <c:pt idx="761">
                  <c:v>745.87074281998321</c:v>
                </c:pt>
                <c:pt idx="762">
                  <c:v>745.87074281998321</c:v>
                </c:pt>
                <c:pt idx="763">
                  <c:v>745.87074281998321</c:v>
                </c:pt>
                <c:pt idx="764">
                  <c:v>745.87074281998321</c:v>
                </c:pt>
                <c:pt idx="765">
                  <c:v>745.87074281998321</c:v>
                </c:pt>
                <c:pt idx="766">
                  <c:v>745.87074281998321</c:v>
                </c:pt>
                <c:pt idx="767">
                  <c:v>745.87074281998321</c:v>
                </c:pt>
                <c:pt idx="768">
                  <c:v>745.87074281998321</c:v>
                </c:pt>
                <c:pt idx="769">
                  <c:v>745.87074281998321</c:v>
                </c:pt>
                <c:pt idx="770">
                  <c:v>745.87074281998321</c:v>
                </c:pt>
                <c:pt idx="771">
                  <c:v>745.87074281998321</c:v>
                </c:pt>
                <c:pt idx="772">
                  <c:v>745.87074281998321</c:v>
                </c:pt>
                <c:pt idx="773">
                  <c:v>745.87074281998321</c:v>
                </c:pt>
                <c:pt idx="774">
                  <c:v>745.87074281998321</c:v>
                </c:pt>
                <c:pt idx="775">
                  <c:v>745.87074281998321</c:v>
                </c:pt>
                <c:pt idx="776">
                  <c:v>745.87074281998321</c:v>
                </c:pt>
                <c:pt idx="777">
                  <c:v>745.87074281998321</c:v>
                </c:pt>
                <c:pt idx="778">
                  <c:v>745.87074281998321</c:v>
                </c:pt>
                <c:pt idx="779">
                  <c:v>745.87074281998321</c:v>
                </c:pt>
                <c:pt idx="780">
                  <c:v>745.87074281998321</c:v>
                </c:pt>
                <c:pt idx="781">
                  <c:v>745.87074281998321</c:v>
                </c:pt>
                <c:pt idx="782">
                  <c:v>745.87074281998321</c:v>
                </c:pt>
                <c:pt idx="783">
                  <c:v>745.87074281998321</c:v>
                </c:pt>
                <c:pt idx="784">
                  <c:v>745.87074281998321</c:v>
                </c:pt>
                <c:pt idx="785">
                  <c:v>745.87074281998321</c:v>
                </c:pt>
                <c:pt idx="786">
                  <c:v>745.87074281998321</c:v>
                </c:pt>
                <c:pt idx="787">
                  <c:v>745.87074281998321</c:v>
                </c:pt>
                <c:pt idx="788">
                  <c:v>745.87074281998321</c:v>
                </c:pt>
                <c:pt idx="789">
                  <c:v>745.87074281998321</c:v>
                </c:pt>
                <c:pt idx="790">
                  <c:v>745.87074281998321</c:v>
                </c:pt>
                <c:pt idx="791">
                  <c:v>745.87074281998321</c:v>
                </c:pt>
                <c:pt idx="792">
                  <c:v>745.87074281998321</c:v>
                </c:pt>
                <c:pt idx="793">
                  <c:v>745.87074281998321</c:v>
                </c:pt>
                <c:pt idx="794">
                  <c:v>745.87074281998321</c:v>
                </c:pt>
                <c:pt idx="795">
                  <c:v>745.87074281998321</c:v>
                </c:pt>
                <c:pt idx="796">
                  <c:v>745.87074281998321</c:v>
                </c:pt>
                <c:pt idx="797">
                  <c:v>745.87074281998321</c:v>
                </c:pt>
                <c:pt idx="798">
                  <c:v>745.87074281998321</c:v>
                </c:pt>
                <c:pt idx="799">
                  <c:v>745.87074281998321</c:v>
                </c:pt>
                <c:pt idx="800">
                  <c:v>745.87074281998321</c:v>
                </c:pt>
                <c:pt idx="801">
                  <c:v>745.87074281998321</c:v>
                </c:pt>
                <c:pt idx="802">
                  <c:v>745.87074281998321</c:v>
                </c:pt>
                <c:pt idx="803">
                  <c:v>745.87074281998321</c:v>
                </c:pt>
                <c:pt idx="804">
                  <c:v>745.87074281998321</c:v>
                </c:pt>
                <c:pt idx="805">
                  <c:v>745.87074281998321</c:v>
                </c:pt>
                <c:pt idx="806">
                  <c:v>745.87074281998321</c:v>
                </c:pt>
                <c:pt idx="807">
                  <c:v>745.87074281998321</c:v>
                </c:pt>
                <c:pt idx="808">
                  <c:v>745.87074281998321</c:v>
                </c:pt>
                <c:pt idx="809">
                  <c:v>745.87074281998321</c:v>
                </c:pt>
                <c:pt idx="810">
                  <c:v>745.87074281998321</c:v>
                </c:pt>
                <c:pt idx="811">
                  <c:v>745.87074281998321</c:v>
                </c:pt>
                <c:pt idx="812">
                  <c:v>745.87074281998321</c:v>
                </c:pt>
                <c:pt idx="813">
                  <c:v>745.87074281998321</c:v>
                </c:pt>
                <c:pt idx="814">
                  <c:v>745.87074281998321</c:v>
                </c:pt>
                <c:pt idx="815">
                  <c:v>745.87074281998321</c:v>
                </c:pt>
                <c:pt idx="816">
                  <c:v>745.87074281998321</c:v>
                </c:pt>
                <c:pt idx="817">
                  <c:v>745.87074281998321</c:v>
                </c:pt>
                <c:pt idx="818">
                  <c:v>745.87074281998321</c:v>
                </c:pt>
                <c:pt idx="819">
                  <c:v>745.87074281998321</c:v>
                </c:pt>
                <c:pt idx="820">
                  <c:v>745.87074281998321</c:v>
                </c:pt>
                <c:pt idx="821">
                  <c:v>745.87074281998321</c:v>
                </c:pt>
                <c:pt idx="822">
                  <c:v>745.87074281998321</c:v>
                </c:pt>
                <c:pt idx="823">
                  <c:v>745.87074281998321</c:v>
                </c:pt>
                <c:pt idx="824">
                  <c:v>745.87074281998321</c:v>
                </c:pt>
                <c:pt idx="825">
                  <c:v>745.87074281998321</c:v>
                </c:pt>
                <c:pt idx="826">
                  <c:v>745.87074281998321</c:v>
                </c:pt>
                <c:pt idx="827">
                  <c:v>745.87074281998321</c:v>
                </c:pt>
                <c:pt idx="828">
                  <c:v>745.87074281998321</c:v>
                </c:pt>
                <c:pt idx="829">
                  <c:v>745.87074281998321</c:v>
                </c:pt>
                <c:pt idx="830">
                  <c:v>745.87074281998321</c:v>
                </c:pt>
                <c:pt idx="831">
                  <c:v>745.87074281998321</c:v>
                </c:pt>
                <c:pt idx="832">
                  <c:v>745.87074281998321</c:v>
                </c:pt>
                <c:pt idx="833">
                  <c:v>745.87074281998321</c:v>
                </c:pt>
                <c:pt idx="834">
                  <c:v>745.87074281998321</c:v>
                </c:pt>
                <c:pt idx="835">
                  <c:v>745.87074281998321</c:v>
                </c:pt>
                <c:pt idx="836">
                  <c:v>745.87074281998321</c:v>
                </c:pt>
                <c:pt idx="837">
                  <c:v>745.87074281998321</c:v>
                </c:pt>
                <c:pt idx="838">
                  <c:v>745.87074281998321</c:v>
                </c:pt>
                <c:pt idx="839">
                  <c:v>745.87074281998321</c:v>
                </c:pt>
                <c:pt idx="840">
                  <c:v>745.87074281998321</c:v>
                </c:pt>
                <c:pt idx="841">
                  <c:v>745.87074281998321</c:v>
                </c:pt>
                <c:pt idx="842">
                  <c:v>745.87074281998321</c:v>
                </c:pt>
                <c:pt idx="843">
                  <c:v>745.87074281998321</c:v>
                </c:pt>
                <c:pt idx="844">
                  <c:v>745.87074281998321</c:v>
                </c:pt>
                <c:pt idx="845">
                  <c:v>745.87074281998321</c:v>
                </c:pt>
                <c:pt idx="846">
                  <c:v>745.87074281998321</c:v>
                </c:pt>
                <c:pt idx="847">
                  <c:v>745.87074281998321</c:v>
                </c:pt>
                <c:pt idx="848">
                  <c:v>745.87074281998321</c:v>
                </c:pt>
                <c:pt idx="849">
                  <c:v>745.87074281998321</c:v>
                </c:pt>
                <c:pt idx="850">
                  <c:v>745.87074281998321</c:v>
                </c:pt>
                <c:pt idx="851">
                  <c:v>745.87074281998321</c:v>
                </c:pt>
                <c:pt idx="852">
                  <c:v>745.87074281998321</c:v>
                </c:pt>
                <c:pt idx="853">
                  <c:v>745.87074281998321</c:v>
                </c:pt>
                <c:pt idx="854">
                  <c:v>745.87074281998321</c:v>
                </c:pt>
                <c:pt idx="855">
                  <c:v>745.87074281998321</c:v>
                </c:pt>
                <c:pt idx="856">
                  <c:v>745.87074281998321</c:v>
                </c:pt>
                <c:pt idx="857">
                  <c:v>745.87074281998321</c:v>
                </c:pt>
                <c:pt idx="858">
                  <c:v>745.87074281998321</c:v>
                </c:pt>
                <c:pt idx="859">
                  <c:v>745.87074281998321</c:v>
                </c:pt>
                <c:pt idx="860">
                  <c:v>745.87074281998321</c:v>
                </c:pt>
                <c:pt idx="861">
                  <c:v>745.87074281998321</c:v>
                </c:pt>
                <c:pt idx="862">
                  <c:v>745.87074281998321</c:v>
                </c:pt>
                <c:pt idx="863">
                  <c:v>745.87074281998321</c:v>
                </c:pt>
                <c:pt idx="864">
                  <c:v>745.87074281998321</c:v>
                </c:pt>
                <c:pt idx="865">
                  <c:v>745.87074281998321</c:v>
                </c:pt>
                <c:pt idx="866">
                  <c:v>745.87074281998321</c:v>
                </c:pt>
                <c:pt idx="867">
                  <c:v>745.87074281998321</c:v>
                </c:pt>
                <c:pt idx="868">
                  <c:v>745.87074281998321</c:v>
                </c:pt>
                <c:pt idx="869">
                  <c:v>745.87074281998321</c:v>
                </c:pt>
                <c:pt idx="870">
                  <c:v>745.87074281998321</c:v>
                </c:pt>
                <c:pt idx="871">
                  <c:v>745.87074281998321</c:v>
                </c:pt>
                <c:pt idx="872">
                  <c:v>745.87074281998321</c:v>
                </c:pt>
                <c:pt idx="873">
                  <c:v>745.87074281998321</c:v>
                </c:pt>
                <c:pt idx="874">
                  <c:v>745.87074281998321</c:v>
                </c:pt>
                <c:pt idx="875">
                  <c:v>745.87074281998321</c:v>
                </c:pt>
                <c:pt idx="876">
                  <c:v>745.87074281998321</c:v>
                </c:pt>
                <c:pt idx="877">
                  <c:v>745.87074281998321</c:v>
                </c:pt>
                <c:pt idx="878">
                  <c:v>745.87074281998321</c:v>
                </c:pt>
                <c:pt idx="879">
                  <c:v>745.87074281998321</c:v>
                </c:pt>
                <c:pt idx="880">
                  <c:v>745.87074281998321</c:v>
                </c:pt>
                <c:pt idx="881">
                  <c:v>745.87074281998321</c:v>
                </c:pt>
                <c:pt idx="882">
                  <c:v>745.87074281998321</c:v>
                </c:pt>
                <c:pt idx="883">
                  <c:v>745.87074281998321</c:v>
                </c:pt>
                <c:pt idx="884">
                  <c:v>745.87074281998321</c:v>
                </c:pt>
                <c:pt idx="885">
                  <c:v>745.87074281998321</c:v>
                </c:pt>
                <c:pt idx="886">
                  <c:v>745.87074281998321</c:v>
                </c:pt>
                <c:pt idx="887">
                  <c:v>745.87074281998321</c:v>
                </c:pt>
                <c:pt idx="888">
                  <c:v>745.87074281998321</c:v>
                </c:pt>
                <c:pt idx="889">
                  <c:v>745.87074281998321</c:v>
                </c:pt>
                <c:pt idx="890">
                  <c:v>745.87074281998321</c:v>
                </c:pt>
                <c:pt idx="891">
                  <c:v>745.87074281998321</c:v>
                </c:pt>
                <c:pt idx="892">
                  <c:v>745.87074281998321</c:v>
                </c:pt>
                <c:pt idx="893">
                  <c:v>745.87074281998321</c:v>
                </c:pt>
                <c:pt idx="894">
                  <c:v>745.87074281998321</c:v>
                </c:pt>
                <c:pt idx="895">
                  <c:v>745.87074281998321</c:v>
                </c:pt>
                <c:pt idx="896">
                  <c:v>745.87074281998321</c:v>
                </c:pt>
                <c:pt idx="897">
                  <c:v>745.87074281998321</c:v>
                </c:pt>
                <c:pt idx="898">
                  <c:v>745.87074281998321</c:v>
                </c:pt>
                <c:pt idx="899">
                  <c:v>745.87074281998321</c:v>
                </c:pt>
                <c:pt idx="900">
                  <c:v>745.87074281998321</c:v>
                </c:pt>
                <c:pt idx="901">
                  <c:v>745.87074281998321</c:v>
                </c:pt>
                <c:pt idx="902">
                  <c:v>745.87074281998321</c:v>
                </c:pt>
                <c:pt idx="903">
                  <c:v>745.87074281998321</c:v>
                </c:pt>
                <c:pt idx="904">
                  <c:v>745.87074281998321</c:v>
                </c:pt>
                <c:pt idx="905">
                  <c:v>745.87074281998321</c:v>
                </c:pt>
                <c:pt idx="906">
                  <c:v>745.87074281998321</c:v>
                </c:pt>
                <c:pt idx="907">
                  <c:v>745.87074281998321</c:v>
                </c:pt>
                <c:pt idx="908">
                  <c:v>745.87074281998321</c:v>
                </c:pt>
                <c:pt idx="909">
                  <c:v>745.87074281998321</c:v>
                </c:pt>
                <c:pt idx="910">
                  <c:v>745.87074281998321</c:v>
                </c:pt>
                <c:pt idx="911">
                  <c:v>745.87074281998321</c:v>
                </c:pt>
                <c:pt idx="912">
                  <c:v>745.87074281998321</c:v>
                </c:pt>
                <c:pt idx="913">
                  <c:v>745.87074281998321</c:v>
                </c:pt>
                <c:pt idx="914">
                  <c:v>745.87074281998321</c:v>
                </c:pt>
                <c:pt idx="915">
                  <c:v>745.87074281998321</c:v>
                </c:pt>
                <c:pt idx="916">
                  <c:v>745.87074281998321</c:v>
                </c:pt>
                <c:pt idx="917">
                  <c:v>745.87074281998321</c:v>
                </c:pt>
                <c:pt idx="918">
                  <c:v>745.87074281998321</c:v>
                </c:pt>
                <c:pt idx="919">
                  <c:v>745.87074281998321</c:v>
                </c:pt>
                <c:pt idx="920">
                  <c:v>745.87074281998321</c:v>
                </c:pt>
                <c:pt idx="921">
                  <c:v>745.87074281998321</c:v>
                </c:pt>
                <c:pt idx="922">
                  <c:v>745.87074281998321</c:v>
                </c:pt>
                <c:pt idx="923">
                  <c:v>745.87074281998321</c:v>
                </c:pt>
                <c:pt idx="924">
                  <c:v>745.87074281998321</c:v>
                </c:pt>
                <c:pt idx="925">
                  <c:v>745.87074281998321</c:v>
                </c:pt>
                <c:pt idx="926">
                  <c:v>745.87074281998321</c:v>
                </c:pt>
                <c:pt idx="927">
                  <c:v>745.87074281998321</c:v>
                </c:pt>
                <c:pt idx="928">
                  <c:v>745.87074281998321</c:v>
                </c:pt>
                <c:pt idx="929">
                  <c:v>745.87074281998321</c:v>
                </c:pt>
                <c:pt idx="930">
                  <c:v>745.87074281998321</c:v>
                </c:pt>
                <c:pt idx="931">
                  <c:v>745.87074281998321</c:v>
                </c:pt>
                <c:pt idx="932">
                  <c:v>745.87074281998321</c:v>
                </c:pt>
                <c:pt idx="933">
                  <c:v>745.87074281998321</c:v>
                </c:pt>
                <c:pt idx="934">
                  <c:v>745.87074281998321</c:v>
                </c:pt>
                <c:pt idx="935">
                  <c:v>745.87074281998321</c:v>
                </c:pt>
                <c:pt idx="936">
                  <c:v>745.87074281998321</c:v>
                </c:pt>
                <c:pt idx="937">
                  <c:v>745.87074281998321</c:v>
                </c:pt>
                <c:pt idx="938">
                  <c:v>745.87074281998321</c:v>
                </c:pt>
                <c:pt idx="939">
                  <c:v>745.87074281998321</c:v>
                </c:pt>
                <c:pt idx="940">
                  <c:v>745.87074281998321</c:v>
                </c:pt>
                <c:pt idx="941">
                  <c:v>745.87074281998321</c:v>
                </c:pt>
                <c:pt idx="942">
                  <c:v>745.87074281998321</c:v>
                </c:pt>
                <c:pt idx="943">
                  <c:v>745.87074281998321</c:v>
                </c:pt>
                <c:pt idx="944">
                  <c:v>745.87074281998321</c:v>
                </c:pt>
                <c:pt idx="945">
                  <c:v>745.87074281998321</c:v>
                </c:pt>
                <c:pt idx="946">
                  <c:v>745.87074281998321</c:v>
                </c:pt>
                <c:pt idx="947">
                  <c:v>745.87074281998321</c:v>
                </c:pt>
                <c:pt idx="948">
                  <c:v>745.87074281998321</c:v>
                </c:pt>
                <c:pt idx="949">
                  <c:v>745.87074281998321</c:v>
                </c:pt>
                <c:pt idx="950">
                  <c:v>745.87074281998321</c:v>
                </c:pt>
                <c:pt idx="951">
                  <c:v>745.87074281998321</c:v>
                </c:pt>
                <c:pt idx="952">
                  <c:v>745.87074281998321</c:v>
                </c:pt>
                <c:pt idx="953">
                  <c:v>745.87074281998321</c:v>
                </c:pt>
                <c:pt idx="954">
                  <c:v>745.87074281998321</c:v>
                </c:pt>
                <c:pt idx="955">
                  <c:v>745.87074281998321</c:v>
                </c:pt>
                <c:pt idx="956">
                  <c:v>745.87074281998321</c:v>
                </c:pt>
                <c:pt idx="957">
                  <c:v>745.87074281998321</c:v>
                </c:pt>
                <c:pt idx="958">
                  <c:v>745.87074281998321</c:v>
                </c:pt>
                <c:pt idx="959">
                  <c:v>745.87074281998321</c:v>
                </c:pt>
                <c:pt idx="960">
                  <c:v>745.87074281998321</c:v>
                </c:pt>
                <c:pt idx="961">
                  <c:v>745.87074281998321</c:v>
                </c:pt>
                <c:pt idx="962">
                  <c:v>745.87074281998321</c:v>
                </c:pt>
                <c:pt idx="963">
                  <c:v>745.87074281998321</c:v>
                </c:pt>
                <c:pt idx="964">
                  <c:v>745.87074281998321</c:v>
                </c:pt>
                <c:pt idx="965">
                  <c:v>745.87074281998321</c:v>
                </c:pt>
                <c:pt idx="966">
                  <c:v>745.87074281998321</c:v>
                </c:pt>
                <c:pt idx="967">
                  <c:v>745.87074281998321</c:v>
                </c:pt>
                <c:pt idx="968">
                  <c:v>745.87074281998321</c:v>
                </c:pt>
                <c:pt idx="969">
                  <c:v>745.87074281998321</c:v>
                </c:pt>
                <c:pt idx="970">
                  <c:v>745.87074281998321</c:v>
                </c:pt>
                <c:pt idx="971">
                  <c:v>745.87074281998321</c:v>
                </c:pt>
                <c:pt idx="972">
                  <c:v>745.87074281998321</c:v>
                </c:pt>
                <c:pt idx="973">
                  <c:v>745.87074281998321</c:v>
                </c:pt>
                <c:pt idx="974">
                  <c:v>745.87074281998321</c:v>
                </c:pt>
                <c:pt idx="975">
                  <c:v>745.87074281998321</c:v>
                </c:pt>
                <c:pt idx="976">
                  <c:v>745.87074281998321</c:v>
                </c:pt>
                <c:pt idx="977">
                  <c:v>745.87074281998321</c:v>
                </c:pt>
                <c:pt idx="978">
                  <c:v>745.87074281998321</c:v>
                </c:pt>
                <c:pt idx="979">
                  <c:v>745.87074281998321</c:v>
                </c:pt>
                <c:pt idx="980">
                  <c:v>745.87074281998321</c:v>
                </c:pt>
                <c:pt idx="981">
                  <c:v>745.87074281998321</c:v>
                </c:pt>
                <c:pt idx="982">
                  <c:v>745.87074281998321</c:v>
                </c:pt>
                <c:pt idx="983">
                  <c:v>745.87074281998321</c:v>
                </c:pt>
                <c:pt idx="984">
                  <c:v>745.87074281998321</c:v>
                </c:pt>
                <c:pt idx="985">
                  <c:v>745.87074281998321</c:v>
                </c:pt>
                <c:pt idx="986">
                  <c:v>745.87074281998321</c:v>
                </c:pt>
                <c:pt idx="987">
                  <c:v>745.87074281998321</c:v>
                </c:pt>
                <c:pt idx="988">
                  <c:v>745.87074281998321</c:v>
                </c:pt>
                <c:pt idx="989">
                  <c:v>745.87074281998321</c:v>
                </c:pt>
                <c:pt idx="990">
                  <c:v>745.87074281998321</c:v>
                </c:pt>
                <c:pt idx="991">
                  <c:v>745.87074281998321</c:v>
                </c:pt>
                <c:pt idx="992">
                  <c:v>745.87074281998321</c:v>
                </c:pt>
                <c:pt idx="993">
                  <c:v>745.87074281998321</c:v>
                </c:pt>
                <c:pt idx="994">
                  <c:v>745.87074281998321</c:v>
                </c:pt>
                <c:pt idx="995">
                  <c:v>745.87074281998321</c:v>
                </c:pt>
                <c:pt idx="996">
                  <c:v>745.87074281998321</c:v>
                </c:pt>
                <c:pt idx="997">
                  <c:v>745.87074281998321</c:v>
                </c:pt>
                <c:pt idx="998">
                  <c:v>745.87074281998321</c:v>
                </c:pt>
                <c:pt idx="999">
                  <c:v>745.87074281998321</c:v>
                </c:pt>
                <c:pt idx="1000">
                  <c:v>745.87074281998321</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35.100000000000186</c:v>
                </c:pt>
                <c:pt idx="500">
                  <c:v>35.200000000000188</c:v>
                </c:pt>
                <c:pt idx="501">
                  <c:v>35.300000000000189</c:v>
                </c:pt>
                <c:pt idx="502">
                  <c:v>35.40000000000019</c:v>
                </c:pt>
                <c:pt idx="503">
                  <c:v>35.500000000000192</c:v>
                </c:pt>
                <c:pt idx="504">
                  <c:v>35.600000000000193</c:v>
                </c:pt>
                <c:pt idx="505">
                  <c:v>35.700000000000195</c:v>
                </c:pt>
                <c:pt idx="506">
                  <c:v>35.800000000000196</c:v>
                </c:pt>
                <c:pt idx="507">
                  <c:v>35.900000000000198</c:v>
                </c:pt>
                <c:pt idx="508">
                  <c:v>36.000000000000199</c:v>
                </c:pt>
                <c:pt idx="509">
                  <c:v>36.1000000000002</c:v>
                </c:pt>
                <c:pt idx="510">
                  <c:v>36.200000000000202</c:v>
                </c:pt>
                <c:pt idx="511">
                  <c:v>36.300000000000203</c:v>
                </c:pt>
                <c:pt idx="512">
                  <c:v>36.400000000000205</c:v>
                </c:pt>
                <c:pt idx="513">
                  <c:v>36.500000000000206</c:v>
                </c:pt>
                <c:pt idx="514">
                  <c:v>36.600000000000207</c:v>
                </c:pt>
                <c:pt idx="515">
                  <c:v>36.700000000000209</c:v>
                </c:pt>
                <c:pt idx="516">
                  <c:v>36.80000000000021</c:v>
                </c:pt>
                <c:pt idx="517">
                  <c:v>36.800100000000214</c:v>
                </c:pt>
                <c:pt idx="518">
                  <c:v>36.800200000000217</c:v>
                </c:pt>
                <c:pt idx="519">
                  <c:v>36.80030000000022</c:v>
                </c:pt>
                <c:pt idx="520">
                  <c:v>36.800400000000224</c:v>
                </c:pt>
                <c:pt idx="521">
                  <c:v>36.800500000000227</c:v>
                </c:pt>
                <c:pt idx="522">
                  <c:v>36.80060000000023</c:v>
                </c:pt>
                <c:pt idx="523">
                  <c:v>36.800700000000234</c:v>
                </c:pt>
                <c:pt idx="524">
                  <c:v>36.800800000000237</c:v>
                </c:pt>
                <c:pt idx="525">
                  <c:v>36.80090000000024</c:v>
                </c:pt>
                <c:pt idx="526">
                  <c:v>36.801000000000244</c:v>
                </c:pt>
                <c:pt idx="527">
                  <c:v>36.801100000000247</c:v>
                </c:pt>
                <c:pt idx="528">
                  <c:v>36.80120000000025</c:v>
                </c:pt>
                <c:pt idx="529">
                  <c:v>36.801300000000253</c:v>
                </c:pt>
                <c:pt idx="530">
                  <c:v>36.801400000000257</c:v>
                </c:pt>
                <c:pt idx="531">
                  <c:v>36.80150000000026</c:v>
                </c:pt>
                <c:pt idx="532">
                  <c:v>36.801600000000263</c:v>
                </c:pt>
                <c:pt idx="533">
                  <c:v>36.801700000000267</c:v>
                </c:pt>
                <c:pt idx="534">
                  <c:v>36.80180000000027</c:v>
                </c:pt>
                <c:pt idx="535">
                  <c:v>36.801900000000273</c:v>
                </c:pt>
                <c:pt idx="536">
                  <c:v>36.802000000000277</c:v>
                </c:pt>
                <c:pt idx="537">
                  <c:v>36.80210000000028</c:v>
                </c:pt>
                <c:pt idx="538">
                  <c:v>36.802200000000283</c:v>
                </c:pt>
                <c:pt idx="539">
                  <c:v>36.802300000000287</c:v>
                </c:pt>
                <c:pt idx="540">
                  <c:v>36.80240000000029</c:v>
                </c:pt>
                <c:pt idx="541">
                  <c:v>36.802500000000293</c:v>
                </c:pt>
                <c:pt idx="542">
                  <c:v>36.802600000000297</c:v>
                </c:pt>
                <c:pt idx="543">
                  <c:v>36.8027000000003</c:v>
                </c:pt>
                <c:pt idx="544">
                  <c:v>36.802800000000303</c:v>
                </c:pt>
                <c:pt idx="545">
                  <c:v>36.802900000000307</c:v>
                </c:pt>
                <c:pt idx="546">
                  <c:v>36.80300000000031</c:v>
                </c:pt>
                <c:pt idx="547">
                  <c:v>36.803100000000313</c:v>
                </c:pt>
                <c:pt idx="548">
                  <c:v>36.803200000000317</c:v>
                </c:pt>
                <c:pt idx="549">
                  <c:v>36.80330000000032</c:v>
                </c:pt>
                <c:pt idx="550">
                  <c:v>36.803400000000323</c:v>
                </c:pt>
                <c:pt idx="551">
                  <c:v>36.803500000000327</c:v>
                </c:pt>
                <c:pt idx="552">
                  <c:v>36.80360000000033</c:v>
                </c:pt>
                <c:pt idx="553">
                  <c:v>36.803700000000333</c:v>
                </c:pt>
                <c:pt idx="554">
                  <c:v>36.803800000000336</c:v>
                </c:pt>
                <c:pt idx="555">
                  <c:v>36.80390000000034</c:v>
                </c:pt>
                <c:pt idx="556">
                  <c:v>36.804000000000343</c:v>
                </c:pt>
                <c:pt idx="557">
                  <c:v>36.804100000000346</c:v>
                </c:pt>
                <c:pt idx="558">
                  <c:v>36.80420000000035</c:v>
                </c:pt>
                <c:pt idx="559">
                  <c:v>36.804300000000353</c:v>
                </c:pt>
                <c:pt idx="560">
                  <c:v>36.804400000000356</c:v>
                </c:pt>
                <c:pt idx="561">
                  <c:v>36.80450000000036</c:v>
                </c:pt>
                <c:pt idx="562">
                  <c:v>36.804600000000363</c:v>
                </c:pt>
                <c:pt idx="563">
                  <c:v>36.804700000000366</c:v>
                </c:pt>
                <c:pt idx="564">
                  <c:v>36.80480000000037</c:v>
                </c:pt>
                <c:pt idx="565">
                  <c:v>36.804900000000373</c:v>
                </c:pt>
                <c:pt idx="566">
                  <c:v>36.805000000000376</c:v>
                </c:pt>
                <c:pt idx="567">
                  <c:v>36.80510000000038</c:v>
                </c:pt>
                <c:pt idx="568">
                  <c:v>36.805200000000383</c:v>
                </c:pt>
                <c:pt idx="569">
                  <c:v>36.805300000000386</c:v>
                </c:pt>
                <c:pt idx="570">
                  <c:v>36.80540000000039</c:v>
                </c:pt>
                <c:pt idx="571">
                  <c:v>36.805500000000393</c:v>
                </c:pt>
                <c:pt idx="572">
                  <c:v>36.805600000000396</c:v>
                </c:pt>
                <c:pt idx="573">
                  <c:v>36.8057000000004</c:v>
                </c:pt>
                <c:pt idx="574">
                  <c:v>36.805800000000403</c:v>
                </c:pt>
                <c:pt idx="575">
                  <c:v>36.805900000000406</c:v>
                </c:pt>
                <c:pt idx="576">
                  <c:v>36.806000000000409</c:v>
                </c:pt>
                <c:pt idx="577">
                  <c:v>36.806100000000413</c:v>
                </c:pt>
                <c:pt idx="578">
                  <c:v>36.806200000000416</c:v>
                </c:pt>
                <c:pt idx="579">
                  <c:v>36.806300000000419</c:v>
                </c:pt>
                <c:pt idx="580">
                  <c:v>36.806400000000423</c:v>
                </c:pt>
                <c:pt idx="581">
                  <c:v>36.806500000000426</c:v>
                </c:pt>
                <c:pt idx="582">
                  <c:v>36.806600000000429</c:v>
                </c:pt>
                <c:pt idx="583">
                  <c:v>36.806700000000433</c:v>
                </c:pt>
                <c:pt idx="584">
                  <c:v>36.806800000000436</c:v>
                </c:pt>
                <c:pt idx="585">
                  <c:v>36.806900000000439</c:v>
                </c:pt>
                <c:pt idx="586">
                  <c:v>36.807000000000443</c:v>
                </c:pt>
                <c:pt idx="587">
                  <c:v>36.807100000000446</c:v>
                </c:pt>
                <c:pt idx="588">
                  <c:v>36.807200000000449</c:v>
                </c:pt>
                <c:pt idx="589">
                  <c:v>36.807300000000453</c:v>
                </c:pt>
                <c:pt idx="590">
                  <c:v>36.807400000000456</c:v>
                </c:pt>
                <c:pt idx="591">
                  <c:v>36.807500000000459</c:v>
                </c:pt>
                <c:pt idx="592">
                  <c:v>36.807600000000463</c:v>
                </c:pt>
                <c:pt idx="593">
                  <c:v>36.807700000000466</c:v>
                </c:pt>
                <c:pt idx="594">
                  <c:v>36.807800000000469</c:v>
                </c:pt>
                <c:pt idx="595">
                  <c:v>36.807900000000473</c:v>
                </c:pt>
                <c:pt idx="596">
                  <c:v>36.808000000000476</c:v>
                </c:pt>
                <c:pt idx="597">
                  <c:v>36.808100000000479</c:v>
                </c:pt>
                <c:pt idx="598">
                  <c:v>36.808200000000483</c:v>
                </c:pt>
                <c:pt idx="599">
                  <c:v>36.808300000000486</c:v>
                </c:pt>
                <c:pt idx="600">
                  <c:v>36.808400000000489</c:v>
                </c:pt>
                <c:pt idx="601">
                  <c:v>36.808500000000492</c:v>
                </c:pt>
                <c:pt idx="602">
                  <c:v>36.808600000000496</c:v>
                </c:pt>
                <c:pt idx="603">
                  <c:v>36.808700000000499</c:v>
                </c:pt>
                <c:pt idx="604">
                  <c:v>36.808800000000502</c:v>
                </c:pt>
                <c:pt idx="605">
                  <c:v>36.808900000000506</c:v>
                </c:pt>
                <c:pt idx="606">
                  <c:v>36.809000000000509</c:v>
                </c:pt>
                <c:pt idx="607">
                  <c:v>36.809100000000512</c:v>
                </c:pt>
                <c:pt idx="608">
                  <c:v>36.809200000000516</c:v>
                </c:pt>
                <c:pt idx="609">
                  <c:v>36.809300000000519</c:v>
                </c:pt>
                <c:pt idx="610">
                  <c:v>36.809400000000522</c:v>
                </c:pt>
                <c:pt idx="611">
                  <c:v>36.809500000000526</c:v>
                </c:pt>
                <c:pt idx="612">
                  <c:v>36.809600000000529</c:v>
                </c:pt>
                <c:pt idx="613">
                  <c:v>36.809700000000532</c:v>
                </c:pt>
                <c:pt idx="614">
                  <c:v>36.809800000000536</c:v>
                </c:pt>
                <c:pt idx="615">
                  <c:v>36.809900000000539</c:v>
                </c:pt>
                <c:pt idx="616">
                  <c:v>36.810000000000542</c:v>
                </c:pt>
                <c:pt idx="617">
                  <c:v>36.810100000000546</c:v>
                </c:pt>
                <c:pt idx="618">
                  <c:v>36.810200000000549</c:v>
                </c:pt>
                <c:pt idx="619">
                  <c:v>36.810300000000552</c:v>
                </c:pt>
                <c:pt idx="620">
                  <c:v>36.810400000000556</c:v>
                </c:pt>
                <c:pt idx="621">
                  <c:v>36.810500000000559</c:v>
                </c:pt>
                <c:pt idx="622">
                  <c:v>36.810600000000562</c:v>
                </c:pt>
                <c:pt idx="623">
                  <c:v>36.810700000000566</c:v>
                </c:pt>
                <c:pt idx="624">
                  <c:v>36.810800000000569</c:v>
                </c:pt>
                <c:pt idx="625">
                  <c:v>36.810900000000572</c:v>
                </c:pt>
                <c:pt idx="626">
                  <c:v>36.811000000000575</c:v>
                </c:pt>
                <c:pt idx="627">
                  <c:v>36.811100000000579</c:v>
                </c:pt>
                <c:pt idx="628">
                  <c:v>36.811200000000582</c:v>
                </c:pt>
                <c:pt idx="629">
                  <c:v>36.811300000000585</c:v>
                </c:pt>
                <c:pt idx="630">
                  <c:v>36.811400000000589</c:v>
                </c:pt>
                <c:pt idx="631">
                  <c:v>36.811500000000592</c:v>
                </c:pt>
                <c:pt idx="632">
                  <c:v>36.811600000000595</c:v>
                </c:pt>
                <c:pt idx="633">
                  <c:v>36.811700000000599</c:v>
                </c:pt>
                <c:pt idx="634">
                  <c:v>36.811800000000602</c:v>
                </c:pt>
                <c:pt idx="635">
                  <c:v>36.811900000000605</c:v>
                </c:pt>
                <c:pt idx="636">
                  <c:v>36.812000000000609</c:v>
                </c:pt>
                <c:pt idx="637">
                  <c:v>36.812100000000612</c:v>
                </c:pt>
                <c:pt idx="638">
                  <c:v>36.812200000000615</c:v>
                </c:pt>
                <c:pt idx="639">
                  <c:v>36.812300000000619</c:v>
                </c:pt>
                <c:pt idx="640">
                  <c:v>36.812400000000622</c:v>
                </c:pt>
                <c:pt idx="641">
                  <c:v>36.812500000000625</c:v>
                </c:pt>
                <c:pt idx="642">
                  <c:v>36.812600000000629</c:v>
                </c:pt>
                <c:pt idx="643">
                  <c:v>36.812700000000632</c:v>
                </c:pt>
                <c:pt idx="644">
                  <c:v>36.812800000000635</c:v>
                </c:pt>
                <c:pt idx="645">
                  <c:v>36.812900000000639</c:v>
                </c:pt>
                <c:pt idx="646">
                  <c:v>36.813000000000642</c:v>
                </c:pt>
                <c:pt idx="647">
                  <c:v>36.813100000000645</c:v>
                </c:pt>
                <c:pt idx="648">
                  <c:v>36.813200000000649</c:v>
                </c:pt>
                <c:pt idx="649">
                  <c:v>36.813300000000652</c:v>
                </c:pt>
                <c:pt idx="650">
                  <c:v>36.813400000000655</c:v>
                </c:pt>
                <c:pt idx="651">
                  <c:v>36.813500000000658</c:v>
                </c:pt>
                <c:pt idx="652">
                  <c:v>36.813600000000662</c:v>
                </c:pt>
                <c:pt idx="653">
                  <c:v>36.813700000000665</c:v>
                </c:pt>
                <c:pt idx="654">
                  <c:v>36.813800000000668</c:v>
                </c:pt>
                <c:pt idx="655">
                  <c:v>36.813900000000672</c:v>
                </c:pt>
                <c:pt idx="656">
                  <c:v>36.814000000000675</c:v>
                </c:pt>
                <c:pt idx="657">
                  <c:v>36.814100000000678</c:v>
                </c:pt>
                <c:pt idx="658">
                  <c:v>36.814200000000682</c:v>
                </c:pt>
                <c:pt idx="659">
                  <c:v>36.814300000000685</c:v>
                </c:pt>
                <c:pt idx="660">
                  <c:v>36.814400000000688</c:v>
                </c:pt>
                <c:pt idx="661">
                  <c:v>36.814500000000692</c:v>
                </c:pt>
                <c:pt idx="662">
                  <c:v>36.814600000000695</c:v>
                </c:pt>
                <c:pt idx="663">
                  <c:v>36.814700000000698</c:v>
                </c:pt>
                <c:pt idx="664">
                  <c:v>36.814800000000702</c:v>
                </c:pt>
                <c:pt idx="665">
                  <c:v>36.814900000000705</c:v>
                </c:pt>
                <c:pt idx="666">
                  <c:v>36.815000000000708</c:v>
                </c:pt>
                <c:pt idx="667">
                  <c:v>36.815100000000712</c:v>
                </c:pt>
                <c:pt idx="668">
                  <c:v>36.815200000000715</c:v>
                </c:pt>
                <c:pt idx="669">
                  <c:v>36.815300000000718</c:v>
                </c:pt>
                <c:pt idx="670">
                  <c:v>36.815400000000722</c:v>
                </c:pt>
                <c:pt idx="671">
                  <c:v>36.815500000000725</c:v>
                </c:pt>
                <c:pt idx="672">
                  <c:v>36.815600000000728</c:v>
                </c:pt>
                <c:pt idx="673">
                  <c:v>36.815700000000732</c:v>
                </c:pt>
                <c:pt idx="674">
                  <c:v>36.815800000000735</c:v>
                </c:pt>
                <c:pt idx="675">
                  <c:v>36.815900000000738</c:v>
                </c:pt>
                <c:pt idx="676">
                  <c:v>36.816000000000741</c:v>
                </c:pt>
                <c:pt idx="677">
                  <c:v>36.816100000000745</c:v>
                </c:pt>
                <c:pt idx="678">
                  <c:v>36.816200000000748</c:v>
                </c:pt>
                <c:pt idx="679">
                  <c:v>36.816300000000751</c:v>
                </c:pt>
                <c:pt idx="680">
                  <c:v>36.816400000000755</c:v>
                </c:pt>
                <c:pt idx="681">
                  <c:v>36.816500000000758</c:v>
                </c:pt>
                <c:pt idx="682">
                  <c:v>36.816600000000761</c:v>
                </c:pt>
                <c:pt idx="683">
                  <c:v>36.816700000000765</c:v>
                </c:pt>
                <c:pt idx="684">
                  <c:v>36.816800000000768</c:v>
                </c:pt>
                <c:pt idx="685">
                  <c:v>36.816900000000771</c:v>
                </c:pt>
                <c:pt idx="686">
                  <c:v>36.817000000000775</c:v>
                </c:pt>
                <c:pt idx="687">
                  <c:v>36.817100000000778</c:v>
                </c:pt>
                <c:pt idx="688">
                  <c:v>36.817200000000781</c:v>
                </c:pt>
                <c:pt idx="689">
                  <c:v>36.817300000000785</c:v>
                </c:pt>
                <c:pt idx="690">
                  <c:v>36.817400000000788</c:v>
                </c:pt>
                <c:pt idx="691">
                  <c:v>36.817500000000791</c:v>
                </c:pt>
                <c:pt idx="692">
                  <c:v>36.817600000000795</c:v>
                </c:pt>
                <c:pt idx="693">
                  <c:v>36.817700000000798</c:v>
                </c:pt>
                <c:pt idx="694">
                  <c:v>36.817800000000801</c:v>
                </c:pt>
                <c:pt idx="695">
                  <c:v>36.817900000000805</c:v>
                </c:pt>
                <c:pt idx="696">
                  <c:v>36.818000000000808</c:v>
                </c:pt>
                <c:pt idx="697">
                  <c:v>36.818100000000811</c:v>
                </c:pt>
                <c:pt idx="698">
                  <c:v>36.818200000000814</c:v>
                </c:pt>
                <c:pt idx="699">
                  <c:v>36.818300000000818</c:v>
                </c:pt>
                <c:pt idx="700">
                  <c:v>36.818400000000821</c:v>
                </c:pt>
                <c:pt idx="701">
                  <c:v>36.818500000000824</c:v>
                </c:pt>
                <c:pt idx="702">
                  <c:v>36.818600000000828</c:v>
                </c:pt>
                <c:pt idx="703">
                  <c:v>36.818700000000831</c:v>
                </c:pt>
                <c:pt idx="704">
                  <c:v>36.818800000000834</c:v>
                </c:pt>
                <c:pt idx="705">
                  <c:v>36.818900000000838</c:v>
                </c:pt>
                <c:pt idx="706">
                  <c:v>36.819000000000841</c:v>
                </c:pt>
                <c:pt idx="707">
                  <c:v>36.819100000000844</c:v>
                </c:pt>
                <c:pt idx="708">
                  <c:v>36.819200000000848</c:v>
                </c:pt>
                <c:pt idx="709">
                  <c:v>36.819300000000851</c:v>
                </c:pt>
                <c:pt idx="710">
                  <c:v>36.819400000000854</c:v>
                </c:pt>
                <c:pt idx="711">
                  <c:v>36.819500000000858</c:v>
                </c:pt>
                <c:pt idx="712">
                  <c:v>36.819600000000861</c:v>
                </c:pt>
                <c:pt idx="713">
                  <c:v>36.819700000000864</c:v>
                </c:pt>
                <c:pt idx="714">
                  <c:v>36.819800000000868</c:v>
                </c:pt>
                <c:pt idx="715">
                  <c:v>36.819900000000871</c:v>
                </c:pt>
                <c:pt idx="716">
                  <c:v>36.820000000000874</c:v>
                </c:pt>
                <c:pt idx="717">
                  <c:v>36.820100000000878</c:v>
                </c:pt>
                <c:pt idx="718">
                  <c:v>36.820200000000881</c:v>
                </c:pt>
                <c:pt idx="719">
                  <c:v>36.820300000000884</c:v>
                </c:pt>
                <c:pt idx="720">
                  <c:v>36.820400000000888</c:v>
                </c:pt>
                <c:pt idx="721">
                  <c:v>36.820500000000891</c:v>
                </c:pt>
                <c:pt idx="722">
                  <c:v>36.820600000000894</c:v>
                </c:pt>
                <c:pt idx="723">
                  <c:v>36.820700000000897</c:v>
                </c:pt>
                <c:pt idx="724">
                  <c:v>36.820800000000901</c:v>
                </c:pt>
                <c:pt idx="725">
                  <c:v>36.820900000000904</c:v>
                </c:pt>
                <c:pt idx="726">
                  <c:v>36.821000000000907</c:v>
                </c:pt>
                <c:pt idx="727">
                  <c:v>36.821100000000911</c:v>
                </c:pt>
                <c:pt idx="728">
                  <c:v>36.821200000000914</c:v>
                </c:pt>
                <c:pt idx="729">
                  <c:v>36.821300000000917</c:v>
                </c:pt>
                <c:pt idx="730">
                  <c:v>36.821400000000921</c:v>
                </c:pt>
                <c:pt idx="731">
                  <c:v>36.821500000000924</c:v>
                </c:pt>
                <c:pt idx="732">
                  <c:v>36.821600000000927</c:v>
                </c:pt>
                <c:pt idx="733">
                  <c:v>36.821700000000931</c:v>
                </c:pt>
                <c:pt idx="734">
                  <c:v>36.821800000000934</c:v>
                </c:pt>
                <c:pt idx="735">
                  <c:v>36.821900000000937</c:v>
                </c:pt>
                <c:pt idx="736">
                  <c:v>36.822000000000941</c:v>
                </c:pt>
                <c:pt idx="737">
                  <c:v>36.822100000000944</c:v>
                </c:pt>
                <c:pt idx="738">
                  <c:v>36.822200000000947</c:v>
                </c:pt>
                <c:pt idx="739">
                  <c:v>36.822300000000951</c:v>
                </c:pt>
                <c:pt idx="740">
                  <c:v>36.822400000000954</c:v>
                </c:pt>
                <c:pt idx="741">
                  <c:v>36.822500000000957</c:v>
                </c:pt>
                <c:pt idx="742">
                  <c:v>36.822600000000961</c:v>
                </c:pt>
                <c:pt idx="743">
                  <c:v>36.822700000000964</c:v>
                </c:pt>
                <c:pt idx="744">
                  <c:v>36.822800000000967</c:v>
                </c:pt>
                <c:pt idx="745">
                  <c:v>36.822900000000971</c:v>
                </c:pt>
                <c:pt idx="746">
                  <c:v>36.823000000000974</c:v>
                </c:pt>
                <c:pt idx="747">
                  <c:v>36.823100000000977</c:v>
                </c:pt>
                <c:pt idx="748">
                  <c:v>36.82320000000098</c:v>
                </c:pt>
                <c:pt idx="749">
                  <c:v>36.823300000000984</c:v>
                </c:pt>
                <c:pt idx="750">
                  <c:v>36.823400000000987</c:v>
                </c:pt>
                <c:pt idx="751">
                  <c:v>36.82350000000099</c:v>
                </c:pt>
                <c:pt idx="752">
                  <c:v>36.823600000000994</c:v>
                </c:pt>
                <c:pt idx="753">
                  <c:v>36.823700000000997</c:v>
                </c:pt>
                <c:pt idx="754">
                  <c:v>36.823800000001</c:v>
                </c:pt>
                <c:pt idx="755">
                  <c:v>36.823900000001004</c:v>
                </c:pt>
                <c:pt idx="756">
                  <c:v>36.824000000001007</c:v>
                </c:pt>
                <c:pt idx="757">
                  <c:v>36.82410000000101</c:v>
                </c:pt>
                <c:pt idx="758">
                  <c:v>36.824200000001014</c:v>
                </c:pt>
                <c:pt idx="759">
                  <c:v>36.824300000001017</c:v>
                </c:pt>
                <c:pt idx="760">
                  <c:v>36.82440000000102</c:v>
                </c:pt>
                <c:pt idx="761">
                  <c:v>36.824500000001024</c:v>
                </c:pt>
                <c:pt idx="762">
                  <c:v>36.824600000001027</c:v>
                </c:pt>
                <c:pt idx="763">
                  <c:v>36.82470000000103</c:v>
                </c:pt>
                <c:pt idx="764">
                  <c:v>36.824800000001034</c:v>
                </c:pt>
                <c:pt idx="765">
                  <c:v>36.824900000001037</c:v>
                </c:pt>
                <c:pt idx="766">
                  <c:v>36.82500000000104</c:v>
                </c:pt>
                <c:pt idx="767">
                  <c:v>36.825100000001044</c:v>
                </c:pt>
                <c:pt idx="768">
                  <c:v>36.825200000001047</c:v>
                </c:pt>
                <c:pt idx="769">
                  <c:v>36.82530000000105</c:v>
                </c:pt>
                <c:pt idx="770">
                  <c:v>36.825400000001054</c:v>
                </c:pt>
                <c:pt idx="771">
                  <c:v>36.825500000001057</c:v>
                </c:pt>
                <c:pt idx="772">
                  <c:v>36.82560000000106</c:v>
                </c:pt>
                <c:pt idx="773">
                  <c:v>36.825700000001063</c:v>
                </c:pt>
                <c:pt idx="774">
                  <c:v>36.825800000001067</c:v>
                </c:pt>
                <c:pt idx="775">
                  <c:v>36.82590000000107</c:v>
                </c:pt>
                <c:pt idx="776">
                  <c:v>36.826000000001073</c:v>
                </c:pt>
                <c:pt idx="777">
                  <c:v>36.826100000001077</c:v>
                </c:pt>
                <c:pt idx="778">
                  <c:v>36.82620000000108</c:v>
                </c:pt>
                <c:pt idx="779">
                  <c:v>36.826300000001083</c:v>
                </c:pt>
                <c:pt idx="780">
                  <c:v>36.826400000001087</c:v>
                </c:pt>
                <c:pt idx="781">
                  <c:v>36.82650000000109</c:v>
                </c:pt>
                <c:pt idx="782">
                  <c:v>36.826600000001093</c:v>
                </c:pt>
                <c:pt idx="783">
                  <c:v>36.826700000001097</c:v>
                </c:pt>
                <c:pt idx="784">
                  <c:v>36.8268000000011</c:v>
                </c:pt>
                <c:pt idx="785">
                  <c:v>36.826900000001103</c:v>
                </c:pt>
                <c:pt idx="786">
                  <c:v>36.827000000001107</c:v>
                </c:pt>
                <c:pt idx="787">
                  <c:v>36.82710000000111</c:v>
                </c:pt>
                <c:pt idx="788">
                  <c:v>36.827200000001113</c:v>
                </c:pt>
                <c:pt idx="789">
                  <c:v>36.827300000001117</c:v>
                </c:pt>
                <c:pt idx="790">
                  <c:v>36.82740000000112</c:v>
                </c:pt>
                <c:pt idx="791">
                  <c:v>36.827500000001123</c:v>
                </c:pt>
                <c:pt idx="792">
                  <c:v>36.827600000001127</c:v>
                </c:pt>
                <c:pt idx="793">
                  <c:v>36.82770000000113</c:v>
                </c:pt>
                <c:pt idx="794">
                  <c:v>36.827800000001133</c:v>
                </c:pt>
                <c:pt idx="795">
                  <c:v>36.827900000001137</c:v>
                </c:pt>
                <c:pt idx="796">
                  <c:v>36.82800000000114</c:v>
                </c:pt>
                <c:pt idx="797">
                  <c:v>36.828100000001143</c:v>
                </c:pt>
                <c:pt idx="798">
                  <c:v>36.828200000001146</c:v>
                </c:pt>
                <c:pt idx="799">
                  <c:v>36.82830000000115</c:v>
                </c:pt>
                <c:pt idx="800">
                  <c:v>36.828400000001153</c:v>
                </c:pt>
                <c:pt idx="801">
                  <c:v>36.828500000001156</c:v>
                </c:pt>
                <c:pt idx="802">
                  <c:v>36.82860000000116</c:v>
                </c:pt>
                <c:pt idx="803">
                  <c:v>36.828700000001163</c:v>
                </c:pt>
                <c:pt idx="804">
                  <c:v>36.828800000001166</c:v>
                </c:pt>
                <c:pt idx="805">
                  <c:v>36.82890000000117</c:v>
                </c:pt>
                <c:pt idx="806">
                  <c:v>36.829000000001173</c:v>
                </c:pt>
                <c:pt idx="807">
                  <c:v>36.829100000001176</c:v>
                </c:pt>
                <c:pt idx="808">
                  <c:v>36.82920000000118</c:v>
                </c:pt>
                <c:pt idx="809">
                  <c:v>36.829300000001183</c:v>
                </c:pt>
                <c:pt idx="810">
                  <c:v>36.829400000001186</c:v>
                </c:pt>
                <c:pt idx="811">
                  <c:v>36.82950000000119</c:v>
                </c:pt>
                <c:pt idx="812">
                  <c:v>36.829600000001193</c:v>
                </c:pt>
                <c:pt idx="813">
                  <c:v>36.829700000001196</c:v>
                </c:pt>
                <c:pt idx="814">
                  <c:v>36.8298000000012</c:v>
                </c:pt>
                <c:pt idx="815">
                  <c:v>36.829900000001203</c:v>
                </c:pt>
                <c:pt idx="816">
                  <c:v>36.830000000001206</c:v>
                </c:pt>
                <c:pt idx="817">
                  <c:v>36.83010000000121</c:v>
                </c:pt>
                <c:pt idx="818">
                  <c:v>36.830200000001213</c:v>
                </c:pt>
                <c:pt idx="819">
                  <c:v>36.830300000001216</c:v>
                </c:pt>
                <c:pt idx="820">
                  <c:v>36.830400000001219</c:v>
                </c:pt>
                <c:pt idx="821">
                  <c:v>36.830500000001223</c:v>
                </c:pt>
                <c:pt idx="822">
                  <c:v>36.830600000001226</c:v>
                </c:pt>
                <c:pt idx="823">
                  <c:v>36.830700000001229</c:v>
                </c:pt>
                <c:pt idx="824">
                  <c:v>36.830800000001233</c:v>
                </c:pt>
                <c:pt idx="825">
                  <c:v>36.830900000001236</c:v>
                </c:pt>
                <c:pt idx="826">
                  <c:v>36.831000000001239</c:v>
                </c:pt>
                <c:pt idx="827">
                  <c:v>36.831100000001243</c:v>
                </c:pt>
                <c:pt idx="828">
                  <c:v>36.831200000001246</c:v>
                </c:pt>
                <c:pt idx="829">
                  <c:v>36.831300000001249</c:v>
                </c:pt>
                <c:pt idx="830">
                  <c:v>36.831400000001253</c:v>
                </c:pt>
                <c:pt idx="831">
                  <c:v>36.831500000001256</c:v>
                </c:pt>
                <c:pt idx="832">
                  <c:v>36.831600000001259</c:v>
                </c:pt>
                <c:pt idx="833">
                  <c:v>36.831700000001263</c:v>
                </c:pt>
                <c:pt idx="834">
                  <c:v>36.831800000001266</c:v>
                </c:pt>
                <c:pt idx="835">
                  <c:v>36.831900000001269</c:v>
                </c:pt>
                <c:pt idx="836">
                  <c:v>36.832000000001273</c:v>
                </c:pt>
                <c:pt idx="837">
                  <c:v>36.832100000001276</c:v>
                </c:pt>
                <c:pt idx="838">
                  <c:v>36.832200000001279</c:v>
                </c:pt>
                <c:pt idx="839">
                  <c:v>36.832300000001283</c:v>
                </c:pt>
                <c:pt idx="840">
                  <c:v>36.832400000001286</c:v>
                </c:pt>
                <c:pt idx="841">
                  <c:v>36.832500000001289</c:v>
                </c:pt>
                <c:pt idx="842">
                  <c:v>36.832600000001293</c:v>
                </c:pt>
                <c:pt idx="843">
                  <c:v>36.832700000001296</c:v>
                </c:pt>
                <c:pt idx="844">
                  <c:v>36.832800000001299</c:v>
                </c:pt>
                <c:pt idx="845">
                  <c:v>36.832900000001302</c:v>
                </c:pt>
                <c:pt idx="846">
                  <c:v>36.833000000001306</c:v>
                </c:pt>
                <c:pt idx="847">
                  <c:v>36.833100000001309</c:v>
                </c:pt>
                <c:pt idx="848">
                  <c:v>36.833200000001312</c:v>
                </c:pt>
                <c:pt idx="849">
                  <c:v>36.833300000001316</c:v>
                </c:pt>
                <c:pt idx="850">
                  <c:v>36.833400000001319</c:v>
                </c:pt>
                <c:pt idx="851">
                  <c:v>36.833500000001322</c:v>
                </c:pt>
                <c:pt idx="852">
                  <c:v>36.833600000001326</c:v>
                </c:pt>
                <c:pt idx="853">
                  <c:v>36.833700000001329</c:v>
                </c:pt>
                <c:pt idx="854">
                  <c:v>36.833800000001332</c:v>
                </c:pt>
                <c:pt idx="855">
                  <c:v>36.833900000001336</c:v>
                </c:pt>
                <c:pt idx="856">
                  <c:v>36.834000000001339</c:v>
                </c:pt>
                <c:pt idx="857">
                  <c:v>36.834100000001342</c:v>
                </c:pt>
                <c:pt idx="858">
                  <c:v>36.834200000001346</c:v>
                </c:pt>
                <c:pt idx="859">
                  <c:v>36.834300000001349</c:v>
                </c:pt>
                <c:pt idx="860">
                  <c:v>36.834400000001352</c:v>
                </c:pt>
                <c:pt idx="861">
                  <c:v>36.834500000001356</c:v>
                </c:pt>
                <c:pt idx="862">
                  <c:v>36.834600000001359</c:v>
                </c:pt>
                <c:pt idx="863">
                  <c:v>36.834700000001362</c:v>
                </c:pt>
                <c:pt idx="864">
                  <c:v>36.834800000001366</c:v>
                </c:pt>
                <c:pt idx="865">
                  <c:v>36.834900000001369</c:v>
                </c:pt>
                <c:pt idx="866">
                  <c:v>36.835000000001372</c:v>
                </c:pt>
                <c:pt idx="867">
                  <c:v>36.835100000001376</c:v>
                </c:pt>
                <c:pt idx="868">
                  <c:v>36.835200000001379</c:v>
                </c:pt>
                <c:pt idx="869">
                  <c:v>36.835300000001382</c:v>
                </c:pt>
                <c:pt idx="870">
                  <c:v>36.835400000001385</c:v>
                </c:pt>
                <c:pt idx="871">
                  <c:v>36.835500000001389</c:v>
                </c:pt>
                <c:pt idx="872">
                  <c:v>36.835600000001392</c:v>
                </c:pt>
                <c:pt idx="873">
                  <c:v>36.835700000001395</c:v>
                </c:pt>
                <c:pt idx="874">
                  <c:v>36.835800000001399</c:v>
                </c:pt>
                <c:pt idx="875">
                  <c:v>36.835900000001402</c:v>
                </c:pt>
                <c:pt idx="876">
                  <c:v>36.836000000001405</c:v>
                </c:pt>
                <c:pt idx="877">
                  <c:v>36.836100000001409</c:v>
                </c:pt>
                <c:pt idx="878">
                  <c:v>36.836200000001412</c:v>
                </c:pt>
                <c:pt idx="879">
                  <c:v>36.836300000001415</c:v>
                </c:pt>
                <c:pt idx="880">
                  <c:v>36.836400000001419</c:v>
                </c:pt>
                <c:pt idx="881">
                  <c:v>36.836500000001422</c:v>
                </c:pt>
                <c:pt idx="882">
                  <c:v>36.836600000001425</c:v>
                </c:pt>
                <c:pt idx="883">
                  <c:v>36.836700000001429</c:v>
                </c:pt>
                <c:pt idx="884">
                  <c:v>36.836800000001432</c:v>
                </c:pt>
                <c:pt idx="885">
                  <c:v>36.836900000001435</c:v>
                </c:pt>
                <c:pt idx="886">
                  <c:v>36.837000000001439</c:v>
                </c:pt>
                <c:pt idx="887">
                  <c:v>36.837100000001442</c:v>
                </c:pt>
                <c:pt idx="888">
                  <c:v>36.837200000001445</c:v>
                </c:pt>
                <c:pt idx="889">
                  <c:v>36.837300000001449</c:v>
                </c:pt>
                <c:pt idx="890">
                  <c:v>36.837400000001452</c:v>
                </c:pt>
                <c:pt idx="891">
                  <c:v>36.837500000001455</c:v>
                </c:pt>
                <c:pt idx="892">
                  <c:v>36.837600000001459</c:v>
                </c:pt>
                <c:pt idx="893">
                  <c:v>36.837700000001462</c:v>
                </c:pt>
                <c:pt idx="894">
                  <c:v>36.837800000001465</c:v>
                </c:pt>
                <c:pt idx="895">
                  <c:v>36.837900000001468</c:v>
                </c:pt>
                <c:pt idx="896">
                  <c:v>36.838000000001472</c:v>
                </c:pt>
                <c:pt idx="897">
                  <c:v>36.838100000001475</c:v>
                </c:pt>
                <c:pt idx="898">
                  <c:v>36.838200000001478</c:v>
                </c:pt>
                <c:pt idx="899">
                  <c:v>36.838300000001482</c:v>
                </c:pt>
                <c:pt idx="900">
                  <c:v>36.838400000001485</c:v>
                </c:pt>
                <c:pt idx="901">
                  <c:v>36.838500000001488</c:v>
                </c:pt>
                <c:pt idx="902">
                  <c:v>36.838600000001492</c:v>
                </c:pt>
                <c:pt idx="903">
                  <c:v>36.838700000001495</c:v>
                </c:pt>
                <c:pt idx="904">
                  <c:v>36.838800000001498</c:v>
                </c:pt>
                <c:pt idx="905">
                  <c:v>36.838900000001502</c:v>
                </c:pt>
                <c:pt idx="906">
                  <c:v>36.839000000001505</c:v>
                </c:pt>
                <c:pt idx="907">
                  <c:v>36.839100000001508</c:v>
                </c:pt>
                <c:pt idx="908">
                  <c:v>36.839200000001512</c:v>
                </c:pt>
                <c:pt idx="909">
                  <c:v>36.839300000001515</c:v>
                </c:pt>
                <c:pt idx="910">
                  <c:v>36.839400000001518</c:v>
                </c:pt>
                <c:pt idx="911">
                  <c:v>36.839500000001522</c:v>
                </c:pt>
                <c:pt idx="912">
                  <c:v>36.839600000001525</c:v>
                </c:pt>
                <c:pt idx="913">
                  <c:v>36.839700000001528</c:v>
                </c:pt>
                <c:pt idx="914">
                  <c:v>36.839800000001532</c:v>
                </c:pt>
                <c:pt idx="915">
                  <c:v>36.839900000001535</c:v>
                </c:pt>
                <c:pt idx="916">
                  <c:v>36.840000000001538</c:v>
                </c:pt>
                <c:pt idx="917">
                  <c:v>36.840100000001542</c:v>
                </c:pt>
                <c:pt idx="918">
                  <c:v>36.840200000001545</c:v>
                </c:pt>
                <c:pt idx="919">
                  <c:v>36.840300000001548</c:v>
                </c:pt>
                <c:pt idx="920">
                  <c:v>36.840400000001551</c:v>
                </c:pt>
                <c:pt idx="921">
                  <c:v>36.840500000001555</c:v>
                </c:pt>
                <c:pt idx="922">
                  <c:v>36.840600000001558</c:v>
                </c:pt>
                <c:pt idx="923">
                  <c:v>36.840700000001561</c:v>
                </c:pt>
                <c:pt idx="924">
                  <c:v>36.840800000001565</c:v>
                </c:pt>
                <c:pt idx="925">
                  <c:v>36.840900000001568</c:v>
                </c:pt>
                <c:pt idx="926">
                  <c:v>36.841000000001571</c:v>
                </c:pt>
                <c:pt idx="927">
                  <c:v>36.841100000001575</c:v>
                </c:pt>
                <c:pt idx="928">
                  <c:v>36.841200000001578</c:v>
                </c:pt>
                <c:pt idx="929">
                  <c:v>36.841300000001581</c:v>
                </c:pt>
                <c:pt idx="930">
                  <c:v>36.841400000001585</c:v>
                </c:pt>
                <c:pt idx="931">
                  <c:v>36.841500000001588</c:v>
                </c:pt>
                <c:pt idx="932">
                  <c:v>36.841600000001591</c:v>
                </c:pt>
                <c:pt idx="933">
                  <c:v>36.841700000001595</c:v>
                </c:pt>
                <c:pt idx="934">
                  <c:v>36.841800000001598</c:v>
                </c:pt>
                <c:pt idx="935">
                  <c:v>36.841900000001601</c:v>
                </c:pt>
                <c:pt idx="936">
                  <c:v>36.842000000001605</c:v>
                </c:pt>
                <c:pt idx="937">
                  <c:v>36.842100000001608</c:v>
                </c:pt>
                <c:pt idx="938">
                  <c:v>36.842200000001611</c:v>
                </c:pt>
                <c:pt idx="939">
                  <c:v>36.842300000001615</c:v>
                </c:pt>
                <c:pt idx="940">
                  <c:v>36.842400000001618</c:v>
                </c:pt>
                <c:pt idx="941">
                  <c:v>36.842500000001621</c:v>
                </c:pt>
                <c:pt idx="942">
                  <c:v>36.842600000001624</c:v>
                </c:pt>
                <c:pt idx="943">
                  <c:v>36.842700000001628</c:v>
                </c:pt>
                <c:pt idx="944">
                  <c:v>36.842800000001631</c:v>
                </c:pt>
                <c:pt idx="945">
                  <c:v>36.842900000001634</c:v>
                </c:pt>
                <c:pt idx="946">
                  <c:v>36.843000000001638</c:v>
                </c:pt>
                <c:pt idx="947">
                  <c:v>36.843100000001641</c:v>
                </c:pt>
                <c:pt idx="948">
                  <c:v>36.843200000001644</c:v>
                </c:pt>
                <c:pt idx="949">
                  <c:v>36.843300000001648</c:v>
                </c:pt>
                <c:pt idx="950">
                  <c:v>36.843400000001651</c:v>
                </c:pt>
                <c:pt idx="951">
                  <c:v>36.843500000001654</c:v>
                </c:pt>
                <c:pt idx="952">
                  <c:v>36.843600000001658</c:v>
                </c:pt>
                <c:pt idx="953">
                  <c:v>36.843700000001661</c:v>
                </c:pt>
                <c:pt idx="954">
                  <c:v>36.843800000001664</c:v>
                </c:pt>
                <c:pt idx="955">
                  <c:v>36.843900000001668</c:v>
                </c:pt>
                <c:pt idx="956">
                  <c:v>36.844000000001671</c:v>
                </c:pt>
                <c:pt idx="957">
                  <c:v>36.844100000001674</c:v>
                </c:pt>
                <c:pt idx="958">
                  <c:v>36.844200000001678</c:v>
                </c:pt>
                <c:pt idx="959">
                  <c:v>36.844300000001681</c:v>
                </c:pt>
                <c:pt idx="960">
                  <c:v>36.844400000001684</c:v>
                </c:pt>
                <c:pt idx="961">
                  <c:v>36.844500000001688</c:v>
                </c:pt>
                <c:pt idx="962">
                  <c:v>36.844600000001691</c:v>
                </c:pt>
                <c:pt idx="963">
                  <c:v>36.844700000001694</c:v>
                </c:pt>
                <c:pt idx="964">
                  <c:v>36.844800000001698</c:v>
                </c:pt>
                <c:pt idx="965">
                  <c:v>36.844900000001701</c:v>
                </c:pt>
                <c:pt idx="966">
                  <c:v>36.845000000001704</c:v>
                </c:pt>
                <c:pt idx="967">
                  <c:v>36.845100000001707</c:v>
                </c:pt>
                <c:pt idx="968">
                  <c:v>36.845200000001711</c:v>
                </c:pt>
                <c:pt idx="969">
                  <c:v>36.845300000001714</c:v>
                </c:pt>
                <c:pt idx="970">
                  <c:v>36.845400000001717</c:v>
                </c:pt>
                <c:pt idx="971">
                  <c:v>36.845500000001721</c:v>
                </c:pt>
                <c:pt idx="972">
                  <c:v>36.845600000001724</c:v>
                </c:pt>
                <c:pt idx="973">
                  <c:v>36.845700000001727</c:v>
                </c:pt>
                <c:pt idx="974">
                  <c:v>36.845800000001731</c:v>
                </c:pt>
                <c:pt idx="975">
                  <c:v>36.845900000001734</c:v>
                </c:pt>
                <c:pt idx="976">
                  <c:v>36.846000000001737</c:v>
                </c:pt>
                <c:pt idx="977">
                  <c:v>36.846100000001741</c:v>
                </c:pt>
                <c:pt idx="978">
                  <c:v>36.846200000001744</c:v>
                </c:pt>
                <c:pt idx="979">
                  <c:v>36.846300000001747</c:v>
                </c:pt>
                <c:pt idx="980">
                  <c:v>36.846400000001751</c:v>
                </c:pt>
                <c:pt idx="981">
                  <c:v>36.846500000001754</c:v>
                </c:pt>
                <c:pt idx="982">
                  <c:v>36.846600000001757</c:v>
                </c:pt>
                <c:pt idx="983">
                  <c:v>36.846700000001761</c:v>
                </c:pt>
                <c:pt idx="984">
                  <c:v>36.846800000001764</c:v>
                </c:pt>
                <c:pt idx="985">
                  <c:v>36.846900000001767</c:v>
                </c:pt>
                <c:pt idx="986">
                  <c:v>36.847000000001771</c:v>
                </c:pt>
                <c:pt idx="987">
                  <c:v>36.847100000001774</c:v>
                </c:pt>
                <c:pt idx="988">
                  <c:v>36.847200000001777</c:v>
                </c:pt>
                <c:pt idx="989">
                  <c:v>36.847300000001781</c:v>
                </c:pt>
                <c:pt idx="990">
                  <c:v>36.847400000001784</c:v>
                </c:pt>
                <c:pt idx="991">
                  <c:v>36.847500000001787</c:v>
                </c:pt>
                <c:pt idx="992">
                  <c:v>36.84760000000179</c:v>
                </c:pt>
                <c:pt idx="993">
                  <c:v>36.847700000001794</c:v>
                </c:pt>
                <c:pt idx="994">
                  <c:v>36.847800000001797</c:v>
                </c:pt>
                <c:pt idx="995">
                  <c:v>36.8479000000018</c:v>
                </c:pt>
                <c:pt idx="996">
                  <c:v>36.848000000001804</c:v>
                </c:pt>
                <c:pt idx="997">
                  <c:v>36.848100000001807</c:v>
                </c:pt>
                <c:pt idx="998">
                  <c:v>36.84820000000181</c:v>
                </c:pt>
                <c:pt idx="999">
                  <c:v>36.848300000001814</c:v>
                </c:pt>
                <c:pt idx="1000">
                  <c:v>36.848400000001817</c:v>
                </c:pt>
              </c:numCache>
            </c:numRef>
          </c:xVal>
          <c:yVal>
            <c:numRef>
              <c:f>Calculs!$K$4:$K$1004</c:f>
              <c:numCache>
                <c:formatCode>0.00</c:formatCode>
                <c:ptCount val="1001"/>
                <c:pt idx="0">
                  <c:v>497.16938386972515</c:v>
                </c:pt>
                <c:pt idx="1">
                  <c:v>498.89573959931016</c:v>
                </c:pt>
                <c:pt idx="2">
                  <c:v>500.62273167179706</c:v>
                </c:pt>
                <c:pt idx="3">
                  <c:v>502.35320005311092</c:v>
                </c:pt>
                <c:pt idx="4">
                  <c:v>504.08765724446886</c:v>
                </c:pt>
                <c:pt idx="5">
                  <c:v>505.82560681945085</c:v>
                </c:pt>
                <c:pt idx="6">
                  <c:v>507.56685996383527</c:v>
                </c:pt>
                <c:pt idx="7">
                  <c:v>509.31138158541756</c:v>
                </c:pt>
                <c:pt idx="8">
                  <c:v>511.05913664583966</c:v>
                </c:pt>
                <c:pt idx="9">
                  <c:v>512.81009016116366</c:v>
                </c:pt>
                <c:pt idx="10">
                  <c:v>514.56420720243705</c:v>
                </c:pt>
                <c:pt idx="11">
                  <c:v>516.32145289624896</c:v>
                </c:pt>
                <c:pt idx="12">
                  <c:v>518.08179242527808</c:v>
                </c:pt>
                <c:pt idx="13">
                  <c:v>519.84519102883144</c:v>
                </c:pt>
                <c:pt idx="14">
                  <c:v>521.61161400337528</c:v>
                </c:pt>
                <c:pt idx="15">
                  <c:v>523.38102670305636</c:v>
                </c:pt>
                <c:pt idx="16">
                  <c:v>525.1533945402158</c:v>
                </c:pt>
                <c:pt idx="17">
                  <c:v>526.92868298589349</c:v>
                </c:pt>
                <c:pt idx="18">
                  <c:v>528.70685757032436</c:v>
                </c:pt>
                <c:pt idx="19">
                  <c:v>530.48788388342643</c:v>
                </c:pt>
                <c:pt idx="20">
                  <c:v>532.27172757527978</c:v>
                </c:pt>
                <c:pt idx="21">
                  <c:v>534.05835435659776</c:v>
                </c:pt>
                <c:pt idx="22">
                  <c:v>535.84772999918926</c:v>
                </c:pt>
                <c:pt idx="23">
                  <c:v>537.63982033641309</c:v>
                </c:pt>
                <c:pt idx="24">
                  <c:v>539.43459126362404</c:v>
                </c:pt>
                <c:pt idx="25">
                  <c:v>541.23200873860992</c:v>
                </c:pt>
                <c:pt idx="26">
                  <c:v>543.03203878202157</c:v>
                </c:pt>
                <c:pt idx="27">
                  <c:v>544.83464747779362</c:v>
                </c:pt>
                <c:pt idx="28">
                  <c:v>546.63980097355761</c:v>
                </c:pt>
                <c:pt idx="29">
                  <c:v>548.44746548104706</c:v>
                </c:pt>
                <c:pt idx="30">
                  <c:v>550.2576072764939</c:v>
                </c:pt>
                <c:pt idx="31">
                  <c:v>552.07019270101739</c:v>
                </c:pt>
                <c:pt idx="32">
                  <c:v>553.88518816100498</c:v>
                </c:pt>
                <c:pt idx="33">
                  <c:v>555.70256012848495</c:v>
                </c:pt>
                <c:pt idx="34">
                  <c:v>557.52227514149126</c:v>
                </c:pt>
                <c:pt idx="35">
                  <c:v>559.34429980442042</c:v>
                </c:pt>
                <c:pt idx="36">
                  <c:v>561.16860078838067</c:v>
                </c:pt>
                <c:pt idx="37">
                  <c:v>562.99514483153337</c:v>
                </c:pt>
                <c:pt idx="38">
                  <c:v>564.82389873942645</c:v>
                </c:pt>
                <c:pt idx="39">
                  <c:v>566.65482938532023</c:v>
                </c:pt>
                <c:pt idx="40">
                  <c:v>568.48790371050552</c:v>
                </c:pt>
                <c:pt idx="41">
                  <c:v>570.32308872461442</c:v>
                </c:pt>
                <c:pt idx="42">
                  <c:v>572.1603515059229</c:v>
                </c:pt>
                <c:pt idx="43">
                  <c:v>573.99965920164652</c:v>
                </c:pt>
                <c:pt idx="44">
                  <c:v>575.84097902822828</c:v>
                </c:pt>
                <c:pt idx="45">
                  <c:v>577.68427827161906</c:v>
                </c:pt>
                <c:pt idx="46">
                  <c:v>579.52952428755066</c:v>
                </c:pt>
                <c:pt idx="47">
                  <c:v>581.37668450180161</c:v>
                </c:pt>
                <c:pt idx="48">
                  <c:v>583.22572641045554</c:v>
                </c:pt>
                <c:pt idx="49">
                  <c:v>585.07661758015252</c:v>
                </c:pt>
                <c:pt idx="50">
                  <c:v>586.92932564833291</c:v>
                </c:pt>
                <c:pt idx="51">
                  <c:v>588.78381832347418</c:v>
                </c:pt>
                <c:pt idx="52">
                  <c:v>590.64006338532056</c:v>
                </c:pt>
                <c:pt idx="53">
                  <c:v>592.49802868510585</c:v>
                </c:pt>
                <c:pt idx="54">
                  <c:v>594.35768214576876</c:v>
                </c:pt>
                <c:pt idx="55">
                  <c:v>596.21899176216198</c:v>
                </c:pt>
                <c:pt idx="56">
                  <c:v>598.08192560125349</c:v>
                </c:pt>
                <c:pt idx="57">
                  <c:v>599.94645180232192</c:v>
                </c:pt>
                <c:pt idx="58">
                  <c:v>601.81253857714432</c:v>
                </c:pt>
                <c:pt idx="59">
                  <c:v>603.68015421017753</c:v>
                </c:pt>
                <c:pt idx="60">
                  <c:v>605.54926705873288</c:v>
                </c:pt>
                <c:pt idx="61">
                  <c:v>607.41984555314411</c:v>
                </c:pt>
                <c:pt idx="62">
                  <c:v>609.29185819692862</c:v>
                </c:pt>
                <c:pt idx="63">
                  <c:v>611.16526021641982</c:v>
                </c:pt>
                <c:pt idx="64">
                  <c:v>613.03998023910196</c:v>
                </c:pt>
                <c:pt idx="65">
                  <c:v>614.91593370879411</c:v>
                </c:pt>
                <c:pt idx="66">
                  <c:v>616.79303627257457</c:v>
                </c:pt>
                <c:pt idx="67">
                  <c:v>618.67119154378247</c:v>
                </c:pt>
                <c:pt idx="68">
                  <c:v>620.55027889256962</c:v>
                </c:pt>
                <c:pt idx="69">
                  <c:v>622.43014398025457</c:v>
                </c:pt>
                <c:pt idx="70">
                  <c:v>624.3105893178938</c:v>
                </c:pt>
                <c:pt idx="71">
                  <c:v>626.19139614741255</c:v>
                </c:pt>
                <c:pt idx="72">
                  <c:v>628.07234627371463</c:v>
                </c:pt>
                <c:pt idx="73">
                  <c:v>629.95322207108086</c:v>
                </c:pt>
                <c:pt idx="74">
                  <c:v>631.83380648928471</c:v>
                </c:pt>
                <c:pt idx="75">
                  <c:v>633.71388305942742</c:v>
                </c:pt>
                <c:pt idx="76">
                  <c:v>635.5932358994944</c:v>
                </c:pt>
                <c:pt idx="77">
                  <c:v>637.47164971963605</c:v>
                </c:pt>
                <c:pt idx="78">
                  <c:v>639.34890982717468</c:v>
                </c:pt>
                <c:pt idx="79">
                  <c:v>641.22480213134043</c:v>
                </c:pt>
                <c:pt idx="80">
                  <c:v>643.09911314773831</c:v>
                </c:pt>
                <c:pt idx="81">
                  <c:v>644.9716558907736</c:v>
                </c:pt>
                <c:pt idx="82">
                  <c:v>646.84229569084152</c:v>
                </c:pt>
                <c:pt idx="83">
                  <c:v>648.71092415512294</c:v>
                </c:pt>
                <c:pt idx="84">
                  <c:v>650.57743320143447</c:v>
                </c:pt>
                <c:pt idx="85">
                  <c:v>652.44171505816939</c:v>
                </c:pt>
                <c:pt idx="86">
                  <c:v>654.30366226417652</c:v>
                </c:pt>
                <c:pt idx="87">
                  <c:v>656.16316766858006</c:v>
                </c:pt>
                <c:pt idx="88">
                  <c:v>658.020124430539</c:v>
                </c:pt>
                <c:pt idx="89">
                  <c:v>659.8744341973246</c:v>
                </c:pt>
                <c:pt idx="90">
                  <c:v>661.72601525758</c:v>
                </c:pt>
                <c:pt idx="91">
                  <c:v>663.57479431251056</c:v>
                </c:pt>
                <c:pt idx="92">
                  <c:v>665.42069827167882</c:v>
                </c:pt>
                <c:pt idx="93">
                  <c:v>667.26365629703207</c:v>
                </c:pt>
                <c:pt idx="94">
                  <c:v>669.10360184063438</c:v>
                </c:pt>
                <c:pt idx="95">
                  <c:v>670.9404705865926</c:v>
                </c:pt>
                <c:pt idx="96">
                  <c:v>672.77419839923891</c:v>
                </c:pt>
                <c:pt idx="97">
                  <c:v>674.6047295013326</c:v>
                </c:pt>
                <c:pt idx="98">
                  <c:v>676.43202462690215</c:v>
                </c:pt>
                <c:pt idx="99">
                  <c:v>678.25605279092724</c:v>
                </c:pt>
                <c:pt idx="100">
                  <c:v>680.07678308450363</c:v>
                </c:pt>
                <c:pt idx="101">
                  <c:v>681.89418467431676</c:v>
                </c:pt>
                <c:pt idx="102">
                  <c:v>683.70822680211359</c:v>
                </c:pt>
                <c:pt idx="103">
                  <c:v>685.51887878417324</c:v>
                </c:pt>
                <c:pt idx="104">
                  <c:v>687.32611001077612</c:v>
                </c:pt>
                <c:pt idx="105">
                  <c:v>689.12988994567115</c:v>
                </c:pt>
                <c:pt idx="106">
                  <c:v>690.93018812554192</c:v>
                </c:pt>
                <c:pt idx="107">
                  <c:v>692.72697415947118</c:v>
                </c:pt>
                <c:pt idx="108">
                  <c:v>694.52021772840419</c:v>
                </c:pt>
                <c:pt idx="109">
                  <c:v>696.30989880621405</c:v>
                </c:pt>
                <c:pt idx="110">
                  <c:v>698.09601784895585</c:v>
                </c:pt>
                <c:pt idx="111">
                  <c:v>699.87858550997441</c:v>
                </c:pt>
                <c:pt idx="112">
                  <c:v>701.6576123872843</c:v>
                </c:pt>
                <c:pt idx="113">
                  <c:v>703.43310902395137</c:v>
                </c:pt>
                <c:pt idx="114">
                  <c:v>705.20508590847032</c:v>
                </c:pt>
                <c:pt idx="115">
                  <c:v>706.97355347513962</c:v>
                </c:pt>
                <c:pt idx="116">
                  <c:v>708.73852210443295</c:v>
                </c:pt>
                <c:pt idx="117">
                  <c:v>710.50000212336715</c:v>
                </c:pt>
                <c:pt idx="118">
                  <c:v>712.25800380586782</c:v>
                </c:pt>
                <c:pt idx="119">
                  <c:v>714.01253737313061</c:v>
                </c:pt>
                <c:pt idx="120">
                  <c:v>715.7636129939807</c:v>
                </c:pt>
                <c:pt idx="121">
                  <c:v>717.5112407852281</c:v>
                </c:pt>
                <c:pt idx="122">
                  <c:v>719.25543081202034</c:v>
                </c:pt>
                <c:pt idx="123">
                  <c:v>720.99619308819263</c:v>
                </c:pt>
                <c:pt idx="124">
                  <c:v>722.73353757661425</c:v>
                </c:pt>
                <c:pt idx="125">
                  <c:v>724.46747418953225</c:v>
                </c:pt>
                <c:pt idx="126">
                  <c:v>726.19801278891248</c:v>
                </c:pt>
                <c:pt idx="127">
                  <c:v>727.92516318677758</c:v>
                </c:pt>
                <c:pt idx="128">
                  <c:v>729.64893514554217</c:v>
                </c:pt>
                <c:pt idx="129">
                  <c:v>731.36933837834488</c:v>
                </c:pt>
                <c:pt idx="130">
                  <c:v>733.08638254937807</c:v>
                </c:pt>
                <c:pt idx="131">
                  <c:v>734.80007727421435</c:v>
                </c:pt>
                <c:pt idx="132">
                  <c:v>736.51043212013087</c:v>
                </c:pt>
                <c:pt idx="133">
                  <c:v>738.21745660643023</c:v>
                </c:pt>
                <c:pt idx="134">
                  <c:v>739.92116020475919</c:v>
                </c:pt>
                <c:pt idx="135">
                  <c:v>741.62155233942462</c:v>
                </c:pt>
                <c:pt idx="136">
                  <c:v>743.31864238770663</c:v>
                </c:pt>
                <c:pt idx="137">
                  <c:v>745.01243968016945</c:v>
                </c:pt>
                <c:pt idx="138">
                  <c:v>746.70295350096933</c:v>
                </c:pt>
                <c:pt idx="139">
                  <c:v>748.39019308816012</c:v>
                </c:pt>
                <c:pt idx="140">
                  <c:v>750.07416763399613</c:v>
                </c:pt>
                <c:pt idx="141">
                  <c:v>751.75488628523283</c:v>
                </c:pt>
                <c:pt idx="142">
                  <c:v>753.43235814342472</c:v>
                </c:pt>
                <c:pt idx="143">
                  <c:v>755.10659226522091</c:v>
                </c:pt>
                <c:pt idx="144">
                  <c:v>756.77759766265831</c:v>
                </c:pt>
                <c:pt idx="145">
                  <c:v>758.44538330345199</c:v>
                </c:pt>
                <c:pt idx="146">
                  <c:v>760.10995811128396</c:v>
                </c:pt>
                <c:pt idx="147">
                  <c:v>761.77133096608884</c:v>
                </c:pt>
                <c:pt idx="148">
                  <c:v>763.42951070433753</c:v>
                </c:pt>
                <c:pt idx="149">
                  <c:v>765.08450611931846</c:v>
                </c:pt>
                <c:pt idx="150">
                  <c:v>766.73632596141681</c:v>
                </c:pt>
                <c:pt idx="151">
                  <c:v>768.38497893839099</c:v>
                </c:pt>
                <c:pt idx="152">
                  <c:v>770.0304737156473</c:v>
                </c:pt>
                <c:pt idx="153">
                  <c:v>771.67281891651214</c:v>
                </c:pt>
                <c:pt idx="154">
                  <c:v>773.31202312250218</c:v>
                </c:pt>
                <c:pt idx="155">
                  <c:v>774.94809487359191</c:v>
                </c:pt>
                <c:pt idx="156">
                  <c:v>776.58104266847965</c:v>
                </c:pt>
                <c:pt idx="157">
                  <c:v>778.2108749648512</c:v>
                </c:pt>
                <c:pt idx="158">
                  <c:v>779.83760017964096</c:v>
                </c:pt>
                <c:pt idx="159">
                  <c:v>781.46122668929161</c:v>
                </c:pt>
                <c:pt idx="160">
                  <c:v>783.08176283001126</c:v>
                </c:pt>
                <c:pt idx="161">
                  <c:v>784.69921689802857</c:v>
                </c:pt>
                <c:pt idx="162">
                  <c:v>786.31359714984615</c:v>
                </c:pt>
                <c:pt idx="163">
                  <c:v>787.92491180249147</c:v>
                </c:pt>
                <c:pt idx="164">
                  <c:v>789.53316903376628</c:v>
                </c:pt>
                <c:pt idx="165">
                  <c:v>791.13837698249358</c:v>
                </c:pt>
                <c:pt idx="166">
                  <c:v>792.74054374876289</c:v>
                </c:pt>
                <c:pt idx="167">
                  <c:v>794.33967739417358</c:v>
                </c:pt>
                <c:pt idx="168">
                  <c:v>795.93578594207611</c:v>
                </c:pt>
                <c:pt idx="169">
                  <c:v>797.52887737781168</c:v>
                </c:pt>
                <c:pt idx="170">
                  <c:v>799.11895964894961</c:v>
                </c:pt>
                <c:pt idx="171">
                  <c:v>800.70604066552289</c:v>
                </c:pt>
                <c:pt idx="172">
                  <c:v>802.29012830026238</c:v>
                </c:pt>
                <c:pt idx="173">
                  <c:v>803.87123038882839</c:v>
                </c:pt>
                <c:pt idx="174">
                  <c:v>805.44935473004125</c:v>
                </c:pt>
                <c:pt idx="175">
                  <c:v>807.02450908610933</c:v>
                </c:pt>
                <c:pt idx="176">
                  <c:v>808.5967011828559</c:v>
                </c:pt>
                <c:pt idx="177">
                  <c:v>810.1659387099437</c:v>
                </c:pt>
                <c:pt idx="178">
                  <c:v>811.73222932109832</c:v>
                </c:pt>
                <c:pt idx="179">
                  <c:v>813.29558063432921</c:v>
                </c:pt>
                <c:pt idx="180">
                  <c:v>814.85600023214954</c:v>
                </c:pt>
                <c:pt idx="181">
                  <c:v>816.41349566179395</c:v>
                </c:pt>
                <c:pt idx="182">
                  <c:v>817.96807443543491</c:v>
                </c:pt>
                <c:pt idx="183">
                  <c:v>819.51974403039719</c:v>
                </c:pt>
                <c:pt idx="184">
                  <c:v>821.06851188937071</c:v>
                </c:pt>
                <c:pt idx="185">
                  <c:v>822.61438542062194</c:v>
                </c:pt>
                <c:pt idx="186">
                  <c:v>824.15737199820353</c:v>
                </c:pt>
                <c:pt idx="187">
                  <c:v>825.69747896216211</c:v>
                </c:pt>
                <c:pt idx="188">
                  <c:v>827.23471361874499</c:v>
                </c:pt>
                <c:pt idx="189">
                  <c:v>828.76908324060491</c:v>
                </c:pt>
                <c:pt idx="190">
                  <c:v>830.30059506700343</c:v>
                </c:pt>
                <c:pt idx="191">
                  <c:v>831.82925630401223</c:v>
                </c:pt>
                <c:pt idx="192">
                  <c:v>833.35507412471395</c:v>
                </c:pt>
                <c:pt idx="193">
                  <c:v>834.87805566940051</c:v>
                </c:pt>
                <c:pt idx="194">
                  <c:v>836.39820804577016</c:v>
                </c:pt>
                <c:pt idx="195">
                  <c:v>837.91553832912325</c:v>
                </c:pt>
                <c:pt idx="196">
                  <c:v>839.43005356255674</c:v>
                </c:pt>
                <c:pt idx="197">
                  <c:v>840.94176075715643</c:v>
                </c:pt>
                <c:pt idx="198">
                  <c:v>842.45066689218856</c:v>
                </c:pt>
                <c:pt idx="199">
                  <c:v>843.95677891528931</c:v>
                </c:pt>
                <c:pt idx="200">
                  <c:v>845.46010374265359</c:v>
                </c:pt>
                <c:pt idx="201">
                  <c:v>860.34058948310269</c:v>
                </c:pt>
                <c:pt idx="202">
                  <c:v>874.94677406198548</c:v>
                </c:pt>
                <c:pt idx="203">
                  <c:v>889.28528057435142</c:v>
                </c:pt>
                <c:pt idx="204">
                  <c:v>903.36244111234146</c:v>
                </c:pt>
                <c:pt idx="205">
                  <c:v>917.18431336203446</c:v>
                </c:pt>
                <c:pt idx="206">
                  <c:v>930.75669601764514</c:v>
                </c:pt>
                <c:pt idx="207">
                  <c:v>944.08514311313081</c:v>
                </c:pt>
                <c:pt idx="208">
                  <c:v>957.17497736148778</c:v>
                </c:pt>
                <c:pt idx="209">
                  <c:v>970.03130258331862</c:v>
                </c:pt>
                <c:pt idx="210">
                  <c:v>982.65901529849975</c:v>
                </c:pt>
                <c:pt idx="211">
                  <c:v>995.06281554786165</c:v>
                </c:pt>
                <c:pt idx="212">
                  <c:v>1007.2472170056067</c:v>
                </c:pt>
                <c:pt idx="213">
                  <c:v>1019.2165564376544</c:v>
                </c:pt>
                <c:pt idx="214">
                  <c:v>1030.9750025561332</c:v>
                </c:pt>
                <c:pt idx="215">
                  <c:v>1042.5265643157777</c:v>
                </c:pt>
                <c:pt idx="216">
                  <c:v>1053.8750986939813</c:v>
                </c:pt>
                <c:pt idx="217">
                  <c:v>1065.0243179926308</c:v>
                </c:pt>
                <c:pt idx="218">
                  <c:v>1075.9777966966003</c:v>
                </c:pt>
                <c:pt idx="219">
                  <c:v>1086.7389779208268</c:v>
                </c:pt>
                <c:pt idx="220">
                  <c:v>1097.3111794752342</c:v>
                </c:pt>
                <c:pt idx="221">
                  <c:v>1107.6975995743564</c:v>
                </c:pt>
                <c:pt idx="222">
                  <c:v>1117.9013222163239</c:v>
                </c:pt>
                <c:pt idx="223">
                  <c:v>1127.9253222538971</c:v>
                </c:pt>
                <c:pt idx="224">
                  <c:v>1137.7724701784193</c:v>
                </c:pt>
                <c:pt idx="225">
                  <c:v>1147.4455366359275</c:v>
                </c:pt>
                <c:pt idx="226">
                  <c:v>1156.9471966931587</c:v>
                </c:pt>
                <c:pt idx="227">
                  <c:v>1166.2800338698287</c:v>
                </c:pt>
                <c:pt idx="228">
                  <c:v>1175.4465439523137</c:v>
                </c:pt>
                <c:pt idx="229">
                  <c:v>1184.4491386027316</c:v>
                </c:pt>
                <c:pt idx="230">
                  <c:v>1193.2901487763725</c:v>
                </c:pt>
                <c:pt idx="231">
                  <c:v>1201.9718279594815</c:v>
                </c:pt>
                <c:pt idx="232">
                  <c:v>1210.4963552385216</c:v>
                </c:pt>
                <c:pt idx="233">
                  <c:v>1218.8658382112392</c:v>
                </c:pt>
                <c:pt idx="234">
                  <c:v>1227.0823157491263</c:v>
                </c:pt>
                <c:pt idx="235">
                  <c:v>1235.1477606201915</c:v>
                </c:pt>
                <c:pt idx="236">
                  <c:v>1243.0640819803316</c:v>
                </c:pt>
                <c:pt idx="237">
                  <c:v>1250.8331277410227</c:v>
                </c:pt>
                <c:pt idx="238">
                  <c:v>1258.4566868205245</c:v>
                </c:pt>
                <c:pt idx="239">
                  <c:v>1265.9364912852984</c:v>
                </c:pt>
                <c:pt idx="240">
                  <c:v>1273.2742183878981</c:v>
                </c:pt>
                <c:pt idx="241">
                  <c:v>1280.4714925071723</c:v>
                </c:pt>
                <c:pt idx="242">
                  <c:v>1287.5298869962357</c:v>
                </c:pt>
                <c:pt idx="243">
                  <c:v>1294.4509259433123</c:v>
                </c:pt>
                <c:pt idx="244">
                  <c:v>1301.2360858502236</c:v>
                </c:pt>
                <c:pt idx="245">
                  <c:v>1307.886797232994</c:v>
                </c:pt>
                <c:pt idx="246">
                  <c:v>1314.4044461487588</c:v>
                </c:pt>
                <c:pt idx="247">
                  <c:v>1320.7903756529063</c:v>
                </c:pt>
                <c:pt idx="248">
                  <c:v>1327.0458871901365</c:v>
                </c:pt>
                <c:pt idx="249">
                  <c:v>1333.172241922897</c:v>
                </c:pt>
                <c:pt idx="250">
                  <c:v>1339.1706620004506</c:v>
                </c:pt>
                <c:pt idx="251">
                  <c:v>1345.04233177163</c:v>
                </c:pt>
                <c:pt idx="252">
                  <c:v>1350.7883989441607</c:v>
                </c:pt>
                <c:pt idx="253">
                  <c:v>1356.4099756932626</c:v>
                </c:pt>
                <c:pt idx="254">
                  <c:v>1361.9081397220871</c:v>
                </c:pt>
                <c:pt idx="255">
                  <c:v>1367.2839352764031</c:v>
                </c:pt>
                <c:pt idx="256">
                  <c:v>1372.5383741158123</c:v>
                </c:pt>
                <c:pt idx="257">
                  <c:v>1377.6724364436477</c:v>
                </c:pt>
                <c:pt idx="258">
                  <c:v>1382.6870717975996</c:v>
                </c:pt>
                <c:pt idx="259">
                  <c:v>1387.5831999030042</c:v>
                </c:pt>
                <c:pt idx="260">
                  <c:v>1392.3617114906324</c:v>
                </c:pt>
                <c:pt idx="261">
                  <c:v>1397.0234690807297</c:v>
                </c:pt>
                <c:pt idx="262">
                  <c:v>1401.5693077349738</c:v>
                </c:pt>
                <c:pt idx="263">
                  <c:v>1406.0000357779422</c:v>
                </c:pt>
                <c:pt idx="264">
                  <c:v>1410.3164354896151</c:v>
                </c:pt>
                <c:pt idx="265">
                  <c:v>1414.5192637703781</c:v>
                </c:pt>
                <c:pt idx="266">
                  <c:v>1418.6092527799356</c:v>
                </c:pt>
                <c:pt idx="267">
                  <c:v>1422.5871105514993</c:v>
                </c:pt>
                <c:pt idx="268">
                  <c:v>1426.4535215825749</c:v>
                </c:pt>
                <c:pt idx="269">
                  <c:v>1430.2091474036406</c:v>
                </c:pt>
                <c:pt idx="270">
                  <c:v>1433.8546271259822</c:v>
                </c:pt>
                <c:pt idx="271">
                  <c:v>1437.3905779699351</c:v>
                </c:pt>
                <c:pt idx="272">
                  <c:v>1440.8175957747701</c:v>
                </c:pt>
                <c:pt idx="273">
                  <c:v>1444.1362554914645</c:v>
                </c:pt>
                <c:pt idx="274">
                  <c:v>1447.3471116596004</c:v>
                </c:pt>
                <c:pt idx="275">
                  <c:v>1450.4506988696583</c:v>
                </c:pt>
                <c:pt idx="276">
                  <c:v>1453.4475322119943</c:v>
                </c:pt>
                <c:pt idx="277">
                  <c:v>1456.3381077138356</c:v>
                </c:pt>
                <c:pt idx="278">
                  <c:v>1459.1229027656755</c:v>
                </c:pt>
                <c:pt idx="279">
                  <c:v>1461.8023765385194</c:v>
                </c:pt>
                <c:pt idx="280">
                  <c:v>1464.3769703935079</c:v>
                </c:pt>
                <c:pt idx="281">
                  <c:v>1466.8471082855417</c:v>
                </c:pt>
                <c:pt idx="282">
                  <c:v>1469.2131971626427</c:v>
                </c:pt>
                <c:pt idx="283">
                  <c:v>1471.4756273629116</c:v>
                </c:pt>
                <c:pt idx="284">
                  <c:v>1473.6347730110911</c:v>
                </c:pt>
                <c:pt idx="285">
                  <c:v>1475.690992416899</c:v>
                </c:pt>
                <c:pt idx="286">
                  <c:v>1477.6446284774804</c:v>
                </c:pt>
                <c:pt idx="287">
                  <c:v>1479.4960090865077</c:v>
                </c:pt>
                <c:pt idx="288">
                  <c:v>1481.2454475526677</c:v>
                </c:pt>
                <c:pt idx="289">
                  <c:v>1482.8932430304676</c:v>
                </c:pt>
                <c:pt idx="290">
                  <c:v>1484.4396809664947</c:v>
                </c:pt>
                <c:pt idx="291">
                  <c:v>1485.8850335644427</c:v>
                </c:pt>
                <c:pt idx="292">
                  <c:v>1487.2295602723659</c:v>
                </c:pt>
                <c:pt idx="293">
                  <c:v>1488.4735082957209</c:v>
                </c:pt>
                <c:pt idx="294">
                  <c:v>1489.6171131397746</c:v>
                </c:pt>
                <c:pt idx="295">
                  <c:v>1490.660599184883</c:v>
                </c:pt>
                <c:pt idx="296">
                  <c:v>1491.6041802979344</c:v>
                </c:pt>
                <c:pt idx="297">
                  <c:v>1492.4480604828766</c:v>
                </c:pt>
                <c:pt idx="298">
                  <c:v>1493.1924345726979</c:v>
                </c:pt>
                <c:pt idx="299">
                  <c:v>1493.8374889644558</c:v>
                </c:pt>
                <c:pt idx="300">
                  <c:v>1494.3834023979637</c:v>
                </c:pt>
                <c:pt idx="301">
                  <c:v>1494.8303467775438</c:v>
                </c:pt>
                <c:pt idx="302">
                  <c:v>1495.1784880348675</c:v>
                </c:pt>
                <c:pt idx="303">
                  <c:v>1495.4279870293822</c:v>
                </c:pt>
                <c:pt idx="304">
                  <c:v>1495.579000481247</c:v>
                </c:pt>
                <c:pt idx="305">
                  <c:v>1495.6316819301612</c:v>
                </c:pt>
                <c:pt idx="306">
                  <c:v>1495.5861827120787</c:v>
                </c:pt>
                <c:pt idx="307">
                  <c:v>1495.4426529446762</c:v>
                </c:pt>
                <c:pt idx="308">
                  <c:v>1495.2012425116748</c:v>
                </c:pt>
                <c:pt idx="309">
                  <c:v>1494.8621020357705</c:v>
                </c:pt>
                <c:pt idx="310">
                  <c:v>1494.4253838300574</c:v>
                </c:pt>
                <c:pt idx="311">
                  <c:v>1493.8912428183949</c:v>
                </c:pt>
                <c:pt idx="312">
                  <c:v>1493.2598374161428</c:v>
                </c:pt>
                <c:pt idx="313">
                  <c:v>1492.5313303639764</c:v>
                </c:pt>
                <c:pt idx="314">
                  <c:v>1491.7058895089804</c:v>
                </c:pt>
                <c:pt idx="315">
                  <c:v>1490.7836885288059</c:v>
                </c:pt>
                <c:pt idx="316">
                  <c:v>1489.7649075962474</c:v>
                </c:pt>
                <c:pt idx="317">
                  <c:v>1488.6497339830596</c:v>
                </c:pt>
                <c:pt idx="318">
                  <c:v>1487.4383626031372</c:v>
                </c:pt>
                <c:pt idx="319">
                  <c:v>1486.1309964962697</c:v>
                </c:pt>
                <c:pt idx="320">
                  <c:v>1484.7278472545513</c:v>
                </c:pt>
                <c:pt idx="321">
                  <c:v>1483.2291353941666</c:v>
                </c:pt>
                <c:pt idx="322">
                  <c:v>1481.6350906757191</c:v>
                </c:pt>
                <c:pt idx="323">
                  <c:v>1479.9459523765213</c:v>
                </c:pt>
                <c:pt idx="324">
                  <c:v>1478.1619695183888</c:v>
                </c:pt>
                <c:pt idx="325">
                  <c:v>1476.2834010544673</c:v>
                </c:pt>
                <c:pt idx="326">
                  <c:v>1474.3105160185323</c:v>
                </c:pt>
                <c:pt idx="327">
                  <c:v>1472.2435936400507</c:v>
                </c:pt>
                <c:pt idx="328">
                  <c:v>1470.0829234280875</c:v>
                </c:pt>
                <c:pt idx="329">
                  <c:v>1467.8288052269343</c:v>
                </c:pt>
                <c:pt idx="330">
                  <c:v>1465.4815492460955</c:v>
                </c:pt>
                <c:pt idx="331">
                  <c:v>1463.0414760670474</c:v>
                </c:pt>
                <c:pt idx="332">
                  <c:v>1460.5089166289581</c:v>
                </c:pt>
                <c:pt idx="333">
                  <c:v>1457.8842121953503</c:v>
                </c:pt>
                <c:pt idx="334">
                  <c:v>1455.1677143034869</c:v>
                </c:pt>
                <c:pt idx="335">
                  <c:v>1452.359784698087</c:v>
                </c:pt>
                <c:pt idx="336">
                  <c:v>1449.4607952508086</c:v>
                </c:pt>
                <c:pt idx="337">
                  <c:v>1446.4711278667953</c:v>
                </c:pt>
                <c:pt idx="338">
                  <c:v>1443.3911743794451</c:v>
                </c:pt>
                <c:pt idx="339">
                  <c:v>1440.2213364344457</c:v>
                </c:pt>
                <c:pt idx="340">
                  <c:v>1436.9620253640176</c:v>
                </c:pt>
                <c:pt idx="341">
                  <c:v>1433.6136620522122</c:v>
                </c:pt>
                <c:pt idx="342">
                  <c:v>1430.176676792034</c:v>
                </c:pt>
                <c:pt idx="343">
                  <c:v>1426.6515091350793</c:v>
                </c:pt>
                <c:pt idx="344">
                  <c:v>1423.0386077343308</c:v>
                </c:pt>
                <c:pt idx="345">
                  <c:v>1419.3384301806809</c:v>
                </c:pt>
                <c:pt idx="346">
                  <c:v>1415.5514428337206</c:v>
                </c:pt>
                <c:pt idx="347">
                  <c:v>1411.6781206472765</c:v>
                </c:pt>
                <c:pt idx="348">
                  <c:v>1407.7189469901525</c:v>
                </c:pt>
                <c:pt idx="349">
                  <c:v>1403.6744134624894</c:v>
                </c:pt>
                <c:pt idx="350">
                  <c:v>1399.5450197081373</c:v>
                </c:pt>
                <c:pt idx="351">
                  <c:v>1395.3312732234001</c:v>
                </c:pt>
                <c:pt idx="352">
                  <c:v>1391.0336891624979</c:v>
                </c:pt>
                <c:pt idx="353">
                  <c:v>1386.652790140065</c:v>
                </c:pt>
                <c:pt idx="354">
                  <c:v>1382.1891060309893</c:v>
                </c:pt>
                <c:pt idx="355">
                  <c:v>1377.6431737678802</c:v>
                </c:pt>
                <c:pt idx="356">
                  <c:v>1373.0155371364376</c:v>
                </c:pt>
                <c:pt idx="357">
                  <c:v>1368.3067465689817</c:v>
                </c:pt>
                <c:pt idx="358">
                  <c:v>1363.5173589363935</c:v>
                </c:pt>
                <c:pt idx="359">
                  <c:v>1358.6479373387012</c:v>
                </c:pt>
                <c:pt idx="360">
                  <c:v>1353.6990508945419</c:v>
                </c:pt>
                <c:pt idx="361">
                  <c:v>1348.6712745297152</c:v>
                </c:pt>
                <c:pt idx="362">
                  <c:v>1343.5651887650415</c:v>
                </c:pt>
                <c:pt idx="363">
                  <c:v>1338.3813795037227</c:v>
                </c:pt>
                <c:pt idx="364">
                  <c:v>1333.1204378184036</c:v>
                </c:pt>
                <c:pt idx="365">
                  <c:v>1327.7829597381199</c:v>
                </c:pt>
                <c:pt idx="366">
                  <c:v>1322.3695460353131</c:v>
                </c:pt>
                <c:pt idx="367">
                  <c:v>1316.8808020130878</c:v>
                </c:pt>
                <c:pt idx="368">
                  <c:v>1311.3173372928791</c:v>
                </c:pt>
                <c:pt idx="369">
                  <c:v>1305.679765602692</c:v>
                </c:pt>
                <c:pt idx="370">
                  <c:v>1299.9687045660703</c:v>
                </c:pt>
                <c:pt idx="371">
                  <c:v>1294.1847754919459</c:v>
                </c:pt>
                <c:pt idx="372">
                  <c:v>1288.3286031655127</c:v>
                </c:pt>
                <c:pt idx="373">
                  <c:v>1282.4008156402683</c:v>
                </c:pt>
                <c:pt idx="374">
                  <c:v>1276.4020440313552</c:v>
                </c:pt>
                <c:pt idx="375">
                  <c:v>1270.3329223103353</c:v>
                </c:pt>
                <c:pt idx="376">
                  <c:v>1264.194087101519</c:v>
                </c:pt>
                <c:pt idx="377">
                  <c:v>1257.9861774799717</c:v>
                </c:pt>
                <c:pt idx="378">
                  <c:v>1251.7098347713118</c:v>
                </c:pt>
                <c:pt idx="379">
                  <c:v>1245.3657023534106</c:v>
                </c:pt>
                <c:pt idx="380">
                  <c:v>1238.9544254601005</c:v>
                </c:pt>
                <c:pt idx="381">
                  <c:v>1232.4766509869917</c:v>
                </c:pt>
                <c:pt idx="382">
                  <c:v>1225.933027299493</c:v>
                </c:pt>
                <c:pt idx="383">
                  <c:v>1219.3242040431317</c:v>
                </c:pt>
                <c:pt idx="384">
                  <c:v>1212.6508319562545</c:v>
                </c:pt>
                <c:pt idx="385">
                  <c:v>1205.9135626851976</c:v>
                </c:pt>
                <c:pt idx="386">
                  <c:v>1199.1130486020004</c:v>
                </c:pt>
                <c:pt idx="387">
                  <c:v>1192.2499426247384</c:v>
                </c:pt>
                <c:pt idx="388">
                  <c:v>1185.3248980405447</c:v>
                </c:pt>
                <c:pt idx="389">
                  <c:v>1178.3385683313841</c:v>
                </c:pt>
                <c:pt idx="390">
                  <c:v>1171.291607002644</c:v>
                </c:pt>
                <c:pt idx="391">
                  <c:v>1164.184667414595</c:v>
                </c:pt>
                <c:pt idx="392">
                  <c:v>1157.0184026167769</c:v>
                </c:pt>
                <c:pt idx="393">
                  <c:v>1149.7934651853589</c:v>
                </c:pt>
                <c:pt idx="394">
                  <c:v>1142.5105070635166</c:v>
                </c:pt>
                <c:pt idx="395">
                  <c:v>1135.1701794048695</c:v>
                </c:pt>
                <c:pt idx="396">
                  <c:v>1127.7731324200142</c:v>
                </c:pt>
                <c:pt idx="397">
                  <c:v>1120.3200152261882</c:v>
                </c:pt>
                <c:pt idx="398">
                  <c:v>1112.8114757000931</c:v>
                </c:pt>
                <c:pt idx="399">
                  <c:v>1105.2481603339036</c:v>
                </c:pt>
                <c:pt idx="400">
                  <c:v>1097.6307140944857</c:v>
                </c:pt>
                <c:pt idx="401">
                  <c:v>1089.959780285843</c:v>
                </c:pt>
                <c:pt idx="402">
                  <c:v>1082.2360004148056</c:v>
                </c:pt>
                <c:pt idx="403">
                  <c:v>1074.4600140599773</c:v>
                </c:pt>
                <c:pt idx="404">
                  <c:v>1066.6324587439476</c:v>
                </c:pt>
                <c:pt idx="405">
                  <c:v>1058.7539698087771</c:v>
                </c:pt>
                <c:pt idx="406">
                  <c:v>1050.8251802947589</c:v>
                </c:pt>
                <c:pt idx="407">
                  <c:v>1042.8467208224554</c:v>
                </c:pt>
                <c:pt idx="408">
                  <c:v>1034.8192194780113</c:v>
                </c:pt>
                <c:pt idx="409">
                  <c:v>1026.743301701734</c:v>
                </c:pt>
                <c:pt idx="410">
                  <c:v>1018.6195901799366</c:v>
                </c:pt>
                <c:pt idx="411">
                  <c:v>1010.448704740032</c:v>
                </c:pt>
                <c:pt idx="412">
                  <c:v>1002.231262248866</c:v>
                </c:pt>
                <c:pt idx="413">
                  <c:v>993.96787651427383</c:v>
                </c:pt>
                <c:pt idx="414">
                  <c:v>985.65915818984342</c:v>
                </c:pt>
                <c:pt idx="415">
                  <c:v>977.30571468286564</c:v>
                </c:pt>
                <c:pt idx="416">
                  <c:v>968.90815006544972</c:v>
                </c:pt>
                <c:pt idx="417">
                  <c:v>960.46706498878098</c:v>
                </c:pt>
                <c:pt idx="418">
                  <c:v>951.98305660049482</c:v>
                </c:pt>
                <c:pt idx="419">
                  <c:v>943.45671846513994</c:v>
                </c:pt>
                <c:pt idx="420">
                  <c:v>934.88864048770131</c:v>
                </c:pt>
                <c:pt idx="421">
                  <c:v>926.27940884015345</c:v>
                </c:pt>
                <c:pt idx="422">
                  <c:v>917.62960589100999</c:v>
                </c:pt>
                <c:pt idx="423">
                  <c:v>908.93981013783753</c:v>
                </c:pt>
                <c:pt idx="424">
                  <c:v>900.21059614269745</c:v>
                </c:pt>
                <c:pt idx="425">
                  <c:v>891.44253447048027</c:v>
                </c:pt>
                <c:pt idx="426">
                  <c:v>882.636191630094</c:v>
                </c:pt>
                <c:pt idx="427">
                  <c:v>873.79213001846813</c:v>
                </c:pt>
                <c:pt idx="428">
                  <c:v>864.910907867334</c:v>
                </c:pt>
                <c:pt idx="429">
                  <c:v>855.9930791927394</c:v>
                </c:pt>
                <c:pt idx="430">
                  <c:v>847.03919374725672</c:v>
                </c:pt>
                <c:pt idx="431">
                  <c:v>838.04979697484168</c:v>
                </c:pt>
                <c:pt idx="432">
                  <c:v>829.02542996829959</c:v>
                </c:pt>
                <c:pt idx="433">
                  <c:v>819.96662942931414</c:v>
                </c:pt>
                <c:pt idx="434">
                  <c:v>810.87392763099501</c:v>
                </c:pt>
                <c:pt idx="435">
                  <c:v>801.7478523828986</c:v>
                </c:pt>
                <c:pt idx="436">
                  <c:v>792.58892699847638</c:v>
                </c:pt>
                <c:pt idx="437">
                  <c:v>783.39767026490404</c:v>
                </c:pt>
                <c:pt idx="438">
                  <c:v>774.17459641524511</c:v>
                </c:pt>
                <c:pt idx="439">
                  <c:v>764.92021510290283</c:v>
                </c:pt>
                <c:pt idx="440">
                  <c:v>755.63503137831196</c:v>
                </c:pt>
                <c:pt idx="441">
                  <c:v>746.31954566782406</c:v>
                </c:pt>
                <c:pt idx="442">
                  <c:v>736.97425375473767</c:v>
                </c:pt>
                <c:pt idx="443">
                  <c:v>727.59964676242737</c:v>
                </c:pt>
                <c:pt idx="444">
                  <c:v>718.19621113952212</c:v>
                </c:pt>
                <c:pt idx="445">
                  <c:v>708.76442864708645</c:v>
                </c:pt>
                <c:pt idx="446">
                  <c:v>699.30477634775661</c:v>
                </c:pt>
                <c:pt idx="447">
                  <c:v>689.81772659678381</c:v>
                </c:pt>
                <c:pt idx="448">
                  <c:v>680.30374703493715</c:v>
                </c:pt>
                <c:pt idx="449">
                  <c:v>670.76330058321935</c:v>
                </c:pt>
                <c:pt idx="450">
                  <c:v>661.19684543934761</c:v>
                </c:pt>
                <c:pt idx="451">
                  <c:v>651.60483507595302</c:v>
                </c:pt>
                <c:pt idx="452">
                  <c:v>641.9877182404523</c:v>
                </c:pt>
                <c:pt idx="453">
                  <c:v>632.34593895654507</c:v>
                </c:pt>
                <c:pt idx="454">
                  <c:v>622.67993652729092</c:v>
                </c:pt>
                <c:pt idx="455">
                  <c:v>612.99014553972074</c:v>
                </c:pt>
                <c:pt idx="456">
                  <c:v>603.2769958709373</c:v>
                </c:pt>
                <c:pt idx="457">
                  <c:v>593.5409126956605</c:v>
                </c:pt>
                <c:pt idx="458">
                  <c:v>583.78231649517204</c:v>
                </c:pt>
                <c:pt idx="459">
                  <c:v>574.00162306761729</c:v>
                </c:pt>
                <c:pt idx="460">
                  <c:v>564.19924353961949</c:v>
                </c:pt>
                <c:pt idx="461">
                  <c:v>554.37558437916482</c:v>
                </c:pt>
                <c:pt idx="462">
                  <c:v>544.53104740971503</c:v>
                </c:pt>
                <c:pt idx="463">
                  <c:v>534.66602982550648</c:v>
                </c:pt>
                <c:pt idx="464">
                  <c:v>524.78092420799453</c:v>
                </c:pt>
                <c:pt idx="465">
                  <c:v>514.87611854340253</c:v>
                </c:pt>
                <c:pt idx="466">
                  <c:v>504.95199624133528</c:v>
                </c:pt>
                <c:pt idx="467">
                  <c:v>495.008936154418</c:v>
                </c:pt>
                <c:pt idx="468">
                  <c:v>485.04731259892208</c:v>
                </c:pt>
                <c:pt idx="469">
                  <c:v>475.06749537633897</c:v>
                </c:pt>
                <c:pt idx="470">
                  <c:v>465.06984979586571</c:v>
                </c:pt>
                <c:pt idx="471">
                  <c:v>455.05473669776433</c:v>
                </c:pt>
                <c:pt idx="472">
                  <c:v>445.02251247755959</c:v>
                </c:pt>
                <c:pt idx="473">
                  <c:v>434.97352911103945</c:v>
                </c:pt>
                <c:pt idx="474">
                  <c:v>424.9081341800233</c:v>
                </c:pt>
                <c:pt idx="475">
                  <c:v>414.82667089886405</c:v>
                </c:pt>
                <c:pt idx="476">
                  <c:v>404.72947814165047</c:v>
                </c:pt>
                <c:pt idx="477">
                  <c:v>394.6168904700769</c:v>
                </c:pt>
                <c:pt idx="478">
                  <c:v>384.48923816194844</c:v>
                </c:pt>
                <c:pt idx="479">
                  <c:v>374.34684724029006</c:v>
                </c:pt>
                <c:pt idx="480">
                  <c:v>364.19003950302886</c:v>
                </c:pt>
                <c:pt idx="481">
                  <c:v>354.01913255321926</c:v>
                </c:pt>
                <c:pt idx="482">
                  <c:v>343.83443982978218</c:v>
                </c:pt>
                <c:pt idx="483">
                  <c:v>333.63627063872889</c:v>
                </c:pt>
                <c:pt idx="484">
                  <c:v>323.42493018484203</c:v>
                </c:pt>
                <c:pt idx="485">
                  <c:v>313.20071960378584</c:v>
                </c:pt>
                <c:pt idx="486">
                  <c:v>302.96393599461936</c:v>
                </c:pt>
                <c:pt idx="487">
                  <c:v>292.71487245268634</c:v>
                </c:pt>
                <c:pt idx="488">
                  <c:v>282.45381810285625</c:v>
                </c:pt>
                <c:pt idx="489">
                  <c:v>272.18105813309217</c:v>
                </c:pt>
                <c:pt idx="490">
                  <c:v>261.89687382832085</c:v>
                </c:pt>
                <c:pt idx="491">
                  <c:v>251.60154260458182</c:v>
                </c:pt>
                <c:pt idx="492">
                  <c:v>241.29533804343254</c:v>
                </c:pt>
                <c:pt idx="493">
                  <c:v>230.9785299265875</c:v>
                </c:pt>
                <c:pt idx="494">
                  <c:v>220.65138427076971</c:v>
                </c:pt>
                <c:pt idx="495">
                  <c:v>210.31416336275325</c:v>
                </c:pt>
                <c:pt idx="496">
                  <c:v>199.96712579457699</c:v>
                </c:pt>
                <c:pt idx="497">
                  <c:v>189.61052649890928</c:v>
                </c:pt>
                <c:pt idx="498">
                  <c:v>179.24461678454475</c:v>
                </c:pt>
                <c:pt idx="499">
                  <c:v>168.86964437201419</c:v>
                </c:pt>
                <c:pt idx="500">
                  <c:v>158.48585342928996</c:v>
                </c:pt>
                <c:pt idx="501">
                  <c:v>148.09348460756894</c:v>
                </c:pt>
                <c:pt idx="502">
                  <c:v>137.69277507711647</c:v>
                </c:pt>
                <c:pt idx="503">
                  <c:v>127.28395856315478</c:v>
                </c:pt>
                <c:pt idx="504">
                  <c:v>116.86726538177996</c:v>
                </c:pt>
                <c:pt idx="505">
                  <c:v>106.44292247589216</c:v>
                </c:pt>
                <c:pt idx="506">
                  <c:v>96.011153451124414</c:v>
                </c:pt>
                <c:pt idx="507">
                  <c:v>85.572178611755476</c:v>
                </c:pt>
                <c:pt idx="508">
                  <c:v>75.126214996593134</c:v>
                </c:pt>
                <c:pt idx="509">
                  <c:v>64.673476414814573</c:v>
                </c:pt>
                <c:pt idx="510">
                  <c:v>54.214173481750855</c:v>
                </c:pt>
                <c:pt idx="511">
                  <c:v>43.748513654603386</c:v>
                </c:pt>
                <c:pt idx="512">
                  <c:v>33.276701268080238</c:v>
                </c:pt>
                <c:pt idx="513">
                  <c:v>22.798937569940996</c:v>
                </c:pt>
                <c:pt idx="514">
                  <c:v>12.315420756439096</c:v>
                </c:pt>
                <c:pt idx="515">
                  <c:v>1.8263460076510505</c:v>
                </c:pt>
                <c:pt idx="516">
                  <c:v>-8.6680944773175739</c:v>
                </c:pt>
                <c:pt idx="517">
                  <c:v>-8.6785915555325754</c:v>
                </c:pt>
                <c:pt idx="518">
                  <c:v>-8.6890886388300732</c:v>
                </c:pt>
                <c:pt idx="519">
                  <c:v>-8.6995857272098824</c:v>
                </c:pt>
                <c:pt idx="520">
                  <c:v>-8.7100828206718184</c:v>
                </c:pt>
                <c:pt idx="521">
                  <c:v>-8.7205799192156963</c:v>
                </c:pt>
                <c:pt idx="522">
                  <c:v>-8.7310770228413315</c:v>
                </c:pt>
                <c:pt idx="523">
                  <c:v>-8.7415741315485391</c:v>
                </c:pt>
                <c:pt idx="524">
                  <c:v>-8.7520712453371345</c:v>
                </c:pt>
                <c:pt idx="525">
                  <c:v>-8.7625683642069347</c:v>
                </c:pt>
                <c:pt idx="526">
                  <c:v>-8.7730654881577532</c:v>
                </c:pt>
                <c:pt idx="527">
                  <c:v>-8.7835626171894052</c:v>
                </c:pt>
                <c:pt idx="528">
                  <c:v>-8.794059751301706</c:v>
                </c:pt>
                <c:pt idx="529">
                  <c:v>-8.8045568904944727</c:v>
                </c:pt>
                <c:pt idx="530">
                  <c:v>-8.8150540347675186</c:v>
                </c:pt>
                <c:pt idx="531">
                  <c:v>-8.8255511841206609</c:v>
                </c:pt>
                <c:pt idx="532">
                  <c:v>-8.836048338553713</c:v>
                </c:pt>
                <c:pt idx="533">
                  <c:v>-8.8465454980664919</c:v>
                </c:pt>
                <c:pt idx="534">
                  <c:v>-8.8570426626588112</c:v>
                </c:pt>
                <c:pt idx="535">
                  <c:v>-8.8675398323304879</c:v>
                </c:pt>
                <c:pt idx="536">
                  <c:v>-8.8780370070813355</c:v>
                </c:pt>
                <c:pt idx="537">
                  <c:v>-8.8885341869111709</c:v>
                </c:pt>
                <c:pt idx="538">
                  <c:v>-8.8990313718198095</c:v>
                </c:pt>
                <c:pt idx="539">
                  <c:v>-8.9095285618070665</c:v>
                </c:pt>
                <c:pt idx="540">
                  <c:v>-8.9200257568727572</c:v>
                </c:pt>
                <c:pt idx="541">
                  <c:v>-8.9305229570166969</c:v>
                </c:pt>
                <c:pt idx="542">
                  <c:v>-8.9410201622387007</c:v>
                </c:pt>
                <c:pt idx="543">
                  <c:v>-8.9515173725385839</c:v>
                </c:pt>
                <c:pt idx="544">
                  <c:v>-8.9620145879161619</c:v>
                </c:pt>
                <c:pt idx="545">
                  <c:v>-8.9725118083712498</c:v>
                </c:pt>
                <c:pt idx="546">
                  <c:v>-8.9830090339036648</c:v>
                </c:pt>
                <c:pt idx="547">
                  <c:v>-8.9935062645132202</c:v>
                </c:pt>
                <c:pt idx="548">
                  <c:v>-9.0040035001997314</c:v>
                </c:pt>
                <c:pt idx="549">
                  <c:v>-9.0145007409630153</c:v>
                </c:pt>
                <c:pt idx="550">
                  <c:v>-9.0249979868028873</c:v>
                </c:pt>
                <c:pt idx="551">
                  <c:v>-9.0354952377191609</c:v>
                </c:pt>
                <c:pt idx="552">
                  <c:v>-9.0459924937116529</c:v>
                </c:pt>
                <c:pt idx="553">
                  <c:v>-9.0564897547801788</c:v>
                </c:pt>
                <c:pt idx="554">
                  <c:v>-9.0669870209245538</c:v>
                </c:pt>
                <c:pt idx="555">
                  <c:v>-9.0774842921445931</c:v>
                </c:pt>
                <c:pt idx="556">
                  <c:v>-9.087981568440112</c:v>
                </c:pt>
                <c:pt idx="557">
                  <c:v>-9.0984788498109257</c:v>
                </c:pt>
                <c:pt idx="558">
                  <c:v>-9.1089761362568495</c:v>
                </c:pt>
                <c:pt idx="559">
                  <c:v>-9.1194734277777005</c:v>
                </c:pt>
                <c:pt idx="560">
                  <c:v>-9.1299707243732922</c:v>
                </c:pt>
                <c:pt idx="561">
                  <c:v>-9.1404680260434414</c:v>
                </c:pt>
                <c:pt idx="562">
                  <c:v>-9.1509653327879619</c:v>
                </c:pt>
                <c:pt idx="563">
                  <c:v>-9.1614626446066705</c:v>
                </c:pt>
                <c:pt idx="564">
                  <c:v>-9.1719599614993825</c:v>
                </c:pt>
                <c:pt idx="565">
                  <c:v>-9.1824572834659133</c:v>
                </c:pt>
                <c:pt idx="566">
                  <c:v>-9.192954610506078</c:v>
                </c:pt>
                <c:pt idx="567">
                  <c:v>-9.2034519426196919</c:v>
                </c:pt>
                <c:pt idx="568">
                  <c:v>-9.2139492798065703</c:v>
                </c:pt>
                <c:pt idx="569">
                  <c:v>-9.2244466220665302</c:v>
                </c:pt>
                <c:pt idx="570">
                  <c:v>-9.2349439693993851</c:v>
                </c:pt>
                <c:pt idx="571">
                  <c:v>-9.245441321804952</c:v>
                </c:pt>
                <c:pt idx="572">
                  <c:v>-9.2559386792830463</c:v>
                </c:pt>
                <c:pt idx="573">
                  <c:v>-9.2664360418334812</c:v>
                </c:pt>
                <c:pt idx="574">
                  <c:v>-9.276933409456074</c:v>
                </c:pt>
                <c:pt idx="575">
                  <c:v>-9.2874307821506399</c:v>
                </c:pt>
                <c:pt idx="576">
                  <c:v>-9.2979281599169941</c:v>
                </c:pt>
                <c:pt idx="577">
                  <c:v>-9.3084255427549536</c:v>
                </c:pt>
                <c:pt idx="578">
                  <c:v>-9.318922930664332</c:v>
                </c:pt>
                <c:pt idx="579">
                  <c:v>-9.3294203236449462</c:v>
                </c:pt>
                <c:pt idx="580">
                  <c:v>-9.3399177216966098</c:v>
                </c:pt>
                <c:pt idx="581">
                  <c:v>-9.3504151248191398</c:v>
                </c:pt>
                <c:pt idx="582">
                  <c:v>-9.3609125330123515</c:v>
                </c:pt>
                <c:pt idx="583">
                  <c:v>-9.3714099462760601</c:v>
                </c:pt>
                <c:pt idx="584">
                  <c:v>-9.3819073646100808</c:v>
                </c:pt>
                <c:pt idx="585">
                  <c:v>-9.392404788014229</c:v>
                </c:pt>
                <c:pt idx="586">
                  <c:v>-9.4029022164883216</c:v>
                </c:pt>
                <c:pt idx="587">
                  <c:v>-9.4133996500321722</c:v>
                </c:pt>
                <c:pt idx="588">
                  <c:v>-9.4238970886455977</c:v>
                </c:pt>
                <c:pt idx="589">
                  <c:v>-9.4343945323284135</c:v>
                </c:pt>
                <c:pt idx="590">
                  <c:v>-9.4448919810804348</c:v>
                </c:pt>
                <c:pt idx="591">
                  <c:v>-9.4553894349014769</c:v>
                </c:pt>
                <c:pt idx="592">
                  <c:v>-9.465886893791355</c:v>
                </c:pt>
                <c:pt idx="593">
                  <c:v>-9.4763843577498861</c:v>
                </c:pt>
                <c:pt idx="594">
                  <c:v>-9.4868818267768837</c:v>
                </c:pt>
                <c:pt idx="595">
                  <c:v>-9.497379300872165</c:v>
                </c:pt>
                <c:pt idx="596">
                  <c:v>-9.507876780035545</c:v>
                </c:pt>
                <c:pt idx="597">
                  <c:v>-9.5183742642668392</c:v>
                </c:pt>
                <c:pt idx="598">
                  <c:v>-9.5288717535658627</c:v>
                </c:pt>
                <c:pt idx="599">
                  <c:v>-9.5393692479324308</c:v>
                </c:pt>
                <c:pt idx="600">
                  <c:v>-9.5498667473663605</c:v>
                </c:pt>
                <c:pt idx="601">
                  <c:v>-9.5603642518674672</c:v>
                </c:pt>
                <c:pt idx="602">
                  <c:v>-9.5708617614355642</c:v>
                </c:pt>
                <c:pt idx="603">
                  <c:v>-9.5813592760704687</c:v>
                </c:pt>
                <c:pt idx="604">
                  <c:v>-9.5918567957719958</c:v>
                </c:pt>
                <c:pt idx="605">
                  <c:v>-9.6023543205399626</c:v>
                </c:pt>
                <c:pt idx="606">
                  <c:v>-9.6128518503741827</c:v>
                </c:pt>
                <c:pt idx="607">
                  <c:v>-9.6233493852744729</c:v>
                </c:pt>
                <c:pt idx="608">
                  <c:v>-9.6338469252406487</c:v>
                </c:pt>
                <c:pt idx="609">
                  <c:v>-9.6443444702725234</c:v>
                </c:pt>
                <c:pt idx="610">
                  <c:v>-9.6548420203699159</c:v>
                </c:pt>
                <c:pt idx="611">
                  <c:v>-9.6653395755326397</c:v>
                </c:pt>
                <c:pt idx="612">
                  <c:v>-9.67583713576051</c:v>
                </c:pt>
                <c:pt idx="613">
                  <c:v>-9.6863347010533438</c:v>
                </c:pt>
                <c:pt idx="614">
                  <c:v>-9.6968322714109565</c:v>
                </c:pt>
                <c:pt idx="615">
                  <c:v>-9.7073298468331632</c:v>
                </c:pt>
                <c:pt idx="616">
                  <c:v>-9.7178274273197793</c:v>
                </c:pt>
                <c:pt idx="617">
                  <c:v>-9.72832501287062</c:v>
                </c:pt>
                <c:pt idx="618">
                  <c:v>-9.7388226034855023</c:v>
                </c:pt>
                <c:pt idx="619">
                  <c:v>-9.7493201991642415</c:v>
                </c:pt>
                <c:pt idx="620">
                  <c:v>-9.7598177999066529</c:v>
                </c:pt>
                <c:pt idx="621">
                  <c:v>-9.7703154057125516</c:v>
                </c:pt>
                <c:pt idx="622">
                  <c:v>-9.7808130165817531</c:v>
                </c:pt>
                <c:pt idx="623">
                  <c:v>-9.7913106325140742</c:v>
                </c:pt>
                <c:pt idx="624">
                  <c:v>-9.8018082535093285</c:v>
                </c:pt>
                <c:pt idx="625">
                  <c:v>-9.812305879567333</c:v>
                </c:pt>
                <c:pt idx="626">
                  <c:v>-9.822803510687903</c:v>
                </c:pt>
                <c:pt idx="627">
                  <c:v>-9.8333011468708555</c:v>
                </c:pt>
                <c:pt idx="628">
                  <c:v>-9.8437987881160041</c:v>
                </c:pt>
                <c:pt idx="629">
                  <c:v>-9.8542964344231656</c:v>
                </c:pt>
                <c:pt idx="630">
                  <c:v>-9.8647940857921554</c:v>
                </c:pt>
                <c:pt idx="631">
                  <c:v>-9.8752917422227888</c:v>
                </c:pt>
                <c:pt idx="632">
                  <c:v>-9.885789403714881</c:v>
                </c:pt>
                <c:pt idx="633">
                  <c:v>-9.8962870702682491</c:v>
                </c:pt>
                <c:pt idx="634">
                  <c:v>-9.9067847418827082</c:v>
                </c:pt>
                <c:pt idx="635">
                  <c:v>-9.9172824185580737</c:v>
                </c:pt>
                <c:pt idx="636">
                  <c:v>-9.9277801002941608</c:v>
                </c:pt>
                <c:pt idx="637">
                  <c:v>-9.9382777870907848</c:v>
                </c:pt>
                <c:pt idx="638">
                  <c:v>-9.9487754789477627</c:v>
                </c:pt>
                <c:pt idx="639">
                  <c:v>-9.9592731758649098</c:v>
                </c:pt>
                <c:pt idx="640">
                  <c:v>-9.9697708778420413</c:v>
                </c:pt>
                <c:pt idx="641">
                  <c:v>-9.9802685848789725</c:v>
                </c:pt>
                <c:pt idx="642">
                  <c:v>-9.9907662969755187</c:v>
                </c:pt>
                <c:pt idx="643">
                  <c:v>-10.001264014131497</c:v>
                </c:pt>
                <c:pt idx="644">
                  <c:v>-10.011761736346722</c:v>
                </c:pt>
                <c:pt idx="645">
                  <c:v>-10.02225946362101</c:v>
                </c:pt>
                <c:pt idx="646">
                  <c:v>-10.032757195954177</c:v>
                </c:pt>
                <c:pt idx="647">
                  <c:v>-10.043254933346038</c:v>
                </c:pt>
                <c:pt idx="648">
                  <c:v>-10.053752675796408</c:v>
                </c:pt>
                <c:pt idx="649">
                  <c:v>-10.064250423305104</c:v>
                </c:pt>
                <c:pt idx="650">
                  <c:v>-10.074748175871942</c:v>
                </c:pt>
                <c:pt idx="651">
                  <c:v>-10.085245933496736</c:v>
                </c:pt>
                <c:pt idx="652">
                  <c:v>-10.095743696179303</c:v>
                </c:pt>
                <c:pt idx="653">
                  <c:v>-10.106241463919458</c:v>
                </c:pt>
                <c:pt idx="654">
                  <c:v>-10.116739236717017</c:v>
                </c:pt>
                <c:pt idx="655">
                  <c:v>-10.127237014571795</c:v>
                </c:pt>
                <c:pt idx="656">
                  <c:v>-10.13773479748361</c:v>
                </c:pt>
                <c:pt idx="657">
                  <c:v>-10.148232585452275</c:v>
                </c:pt>
                <c:pt idx="658">
                  <c:v>-10.158730378477607</c:v>
                </c:pt>
                <c:pt idx="659">
                  <c:v>-10.169228176559422</c:v>
                </c:pt>
                <c:pt idx="660">
                  <c:v>-10.179725979697533</c:v>
                </c:pt>
                <c:pt idx="661">
                  <c:v>-10.190223787891759</c:v>
                </c:pt>
                <c:pt idx="662">
                  <c:v>-10.200721601141915</c:v>
                </c:pt>
                <c:pt idx="663">
                  <c:v>-10.211219419447815</c:v>
                </c:pt>
                <c:pt idx="664">
                  <c:v>-10.221717242809277</c:v>
                </c:pt>
                <c:pt idx="665">
                  <c:v>-10.232215071226115</c:v>
                </c:pt>
                <c:pt idx="666">
                  <c:v>-10.242712904698147</c:v>
                </c:pt>
                <c:pt idx="667">
                  <c:v>-10.253210743225186</c:v>
                </c:pt>
                <c:pt idx="668">
                  <c:v>-10.263708586807049</c:v>
                </c:pt>
                <c:pt idx="669">
                  <c:v>-10.274206435443551</c:v>
                </c:pt>
                <c:pt idx="670">
                  <c:v>-10.28470428913451</c:v>
                </c:pt>
                <c:pt idx="671">
                  <c:v>-10.295202147879738</c:v>
                </c:pt>
                <c:pt idx="672">
                  <c:v>-10.305700011679054</c:v>
                </c:pt>
                <c:pt idx="673">
                  <c:v>-10.316197880532272</c:v>
                </c:pt>
                <c:pt idx="674">
                  <c:v>-10.326695754439209</c:v>
                </c:pt>
                <c:pt idx="675">
                  <c:v>-10.33719363339968</c:v>
                </c:pt>
                <c:pt idx="676">
                  <c:v>-10.347691517413502</c:v>
                </c:pt>
                <c:pt idx="677">
                  <c:v>-10.358189406480488</c:v>
                </c:pt>
                <c:pt idx="678">
                  <c:v>-10.368687300600456</c:v>
                </c:pt>
                <c:pt idx="679">
                  <c:v>-10.379185199773222</c:v>
                </c:pt>
                <c:pt idx="680">
                  <c:v>-10.3896831039986</c:v>
                </c:pt>
                <c:pt idx="681">
                  <c:v>-10.400181013276406</c:v>
                </c:pt>
                <c:pt idx="682">
                  <c:v>-10.410678927606456</c:v>
                </c:pt>
                <c:pt idx="683">
                  <c:v>-10.421176846988567</c:v>
                </c:pt>
                <c:pt idx="684">
                  <c:v>-10.431674771422554</c:v>
                </c:pt>
                <c:pt idx="685">
                  <c:v>-10.442172700908232</c:v>
                </c:pt>
                <c:pt idx="686">
                  <c:v>-10.452670635445418</c:v>
                </c:pt>
                <c:pt idx="687">
                  <c:v>-10.463168575033928</c:v>
                </c:pt>
                <c:pt idx="688">
                  <c:v>-10.473666519673577</c:v>
                </c:pt>
                <c:pt idx="689">
                  <c:v>-10.484164469364179</c:v>
                </c:pt>
                <c:pt idx="690">
                  <c:v>-10.494662424105554</c:v>
                </c:pt>
                <c:pt idx="691">
                  <c:v>-10.505160383897515</c:v>
                </c:pt>
                <c:pt idx="692">
                  <c:v>-10.515658348739878</c:v>
                </c:pt>
                <c:pt idx="693">
                  <c:v>-10.526156318632459</c:v>
                </c:pt>
                <c:pt idx="694">
                  <c:v>-10.536654293575074</c:v>
                </c:pt>
                <c:pt idx="695">
                  <c:v>-10.547152273567539</c:v>
                </c:pt>
                <c:pt idx="696">
                  <c:v>-10.557650258609669</c:v>
                </c:pt>
                <c:pt idx="697">
                  <c:v>-10.568148248701281</c:v>
                </c:pt>
                <c:pt idx="698">
                  <c:v>-10.578646243842188</c:v>
                </c:pt>
                <c:pt idx="699">
                  <c:v>-10.589144244032209</c:v>
                </c:pt>
                <c:pt idx="700">
                  <c:v>-10.599642249271159</c:v>
                </c:pt>
                <c:pt idx="701">
                  <c:v>-10.610140259558854</c:v>
                </c:pt>
                <c:pt idx="702">
                  <c:v>-10.620638274895109</c:v>
                </c:pt>
                <c:pt idx="703">
                  <c:v>-10.63113629527974</c:v>
                </c:pt>
                <c:pt idx="704">
                  <c:v>-10.641634320712564</c:v>
                </c:pt>
                <c:pt idx="705">
                  <c:v>-10.652132351193394</c:v>
                </c:pt>
                <c:pt idx="706">
                  <c:v>-10.66263038672205</c:v>
                </c:pt>
                <c:pt idx="707">
                  <c:v>-10.673128427298344</c:v>
                </c:pt>
                <c:pt idx="708">
                  <c:v>-10.683626472922095</c:v>
                </c:pt>
                <c:pt idx="709">
                  <c:v>-10.694124523593116</c:v>
                </c:pt>
                <c:pt idx="710">
                  <c:v>-10.704622579311224</c:v>
                </c:pt>
                <c:pt idx="711">
                  <c:v>-10.715120640076234</c:v>
                </c:pt>
                <c:pt idx="712">
                  <c:v>-10.725618705887964</c:v>
                </c:pt>
                <c:pt idx="713">
                  <c:v>-10.736116776746229</c:v>
                </c:pt>
                <c:pt idx="714">
                  <c:v>-10.746614852650845</c:v>
                </c:pt>
                <c:pt idx="715">
                  <c:v>-10.757112933601627</c:v>
                </c:pt>
                <c:pt idx="716">
                  <c:v>-10.767611019598391</c:v>
                </c:pt>
                <c:pt idx="717">
                  <c:v>-10.778109110640953</c:v>
                </c:pt>
                <c:pt idx="718">
                  <c:v>-10.788607206729129</c:v>
                </c:pt>
                <c:pt idx="719">
                  <c:v>-10.799105307862735</c:v>
                </c:pt>
                <c:pt idx="720">
                  <c:v>-10.809603414041588</c:v>
                </c:pt>
                <c:pt idx="721">
                  <c:v>-10.820101525265502</c:v>
                </c:pt>
                <c:pt idx="722">
                  <c:v>-10.830599641534292</c:v>
                </c:pt>
                <c:pt idx="723">
                  <c:v>-10.841097762847776</c:v>
                </c:pt>
                <c:pt idx="724">
                  <c:v>-10.85159588920577</c:v>
                </c:pt>
                <c:pt idx="725">
                  <c:v>-10.862094020608088</c:v>
                </c:pt>
                <c:pt idx="726">
                  <c:v>-10.872592157054548</c:v>
                </c:pt>
                <c:pt idx="727">
                  <c:v>-10.883090298544966</c:v>
                </c:pt>
                <c:pt idx="728">
                  <c:v>-10.893588445079155</c:v>
                </c:pt>
                <c:pt idx="729">
                  <c:v>-10.904086596656933</c:v>
                </c:pt>
                <c:pt idx="730">
                  <c:v>-10.914584753278117</c:v>
                </c:pt>
                <c:pt idx="731">
                  <c:v>-10.925082914942521</c:v>
                </c:pt>
                <c:pt idx="732">
                  <c:v>-10.935581081649962</c:v>
                </c:pt>
                <c:pt idx="733">
                  <c:v>-10.946079253400255</c:v>
                </c:pt>
                <c:pt idx="734">
                  <c:v>-10.956577430193216</c:v>
                </c:pt>
                <c:pt idx="735">
                  <c:v>-10.967075612028662</c:v>
                </c:pt>
                <c:pt idx="736">
                  <c:v>-10.977573798906407</c:v>
                </c:pt>
                <c:pt idx="737">
                  <c:v>-10.988071990826269</c:v>
                </c:pt>
                <c:pt idx="738">
                  <c:v>-10.998570187788063</c:v>
                </c:pt>
                <c:pt idx="739">
                  <c:v>-11.009068389791604</c:v>
                </c:pt>
                <c:pt idx="740">
                  <c:v>-11.019566596836711</c:v>
                </c:pt>
                <c:pt idx="741">
                  <c:v>-11.030064808923196</c:v>
                </c:pt>
                <c:pt idx="742">
                  <c:v>-11.040563026050878</c:v>
                </c:pt>
                <c:pt idx="743">
                  <c:v>-11.05106124821957</c:v>
                </c:pt>
                <c:pt idx="744">
                  <c:v>-11.061559475429091</c:v>
                </c:pt>
                <c:pt idx="745">
                  <c:v>-11.072057707679255</c:v>
                </c:pt>
                <c:pt idx="746">
                  <c:v>-11.082555944969879</c:v>
                </c:pt>
                <c:pt idx="747">
                  <c:v>-11.09305418730078</c:v>
                </c:pt>
                <c:pt idx="748">
                  <c:v>-11.103552434671771</c:v>
                </c:pt>
                <c:pt idx="749">
                  <c:v>-11.114050687082671</c:v>
                </c:pt>
                <c:pt idx="750">
                  <c:v>-11.124548944533293</c:v>
                </c:pt>
                <c:pt idx="751">
                  <c:v>-11.135047207023455</c:v>
                </c:pt>
                <c:pt idx="752">
                  <c:v>-11.145545474552971</c:v>
                </c:pt>
                <c:pt idx="753">
                  <c:v>-11.156043747121659</c:v>
                </c:pt>
                <c:pt idx="754">
                  <c:v>-11.166542024729335</c:v>
                </c:pt>
                <c:pt idx="755">
                  <c:v>-11.177040307375814</c:v>
                </c:pt>
                <c:pt idx="756">
                  <c:v>-11.187538595060911</c:v>
                </c:pt>
                <c:pt idx="757">
                  <c:v>-11.198036887784443</c:v>
                </c:pt>
                <c:pt idx="758">
                  <c:v>-11.208535185546229</c:v>
                </c:pt>
                <c:pt idx="759">
                  <c:v>-11.21903348834608</c:v>
                </c:pt>
                <c:pt idx="760">
                  <c:v>-11.229531796183814</c:v>
                </c:pt>
                <c:pt idx="761">
                  <c:v>-11.240030109059248</c:v>
                </c:pt>
                <c:pt idx="762">
                  <c:v>-11.250528426972197</c:v>
                </c:pt>
                <c:pt idx="763">
                  <c:v>-11.261026749922477</c:v>
                </c:pt>
                <c:pt idx="764">
                  <c:v>-11.271525077909905</c:v>
                </c:pt>
                <c:pt idx="765">
                  <c:v>-11.282023410934295</c:v>
                </c:pt>
                <c:pt idx="766">
                  <c:v>-11.292521748995465</c:v>
                </c:pt>
                <c:pt idx="767">
                  <c:v>-11.303020092093231</c:v>
                </c:pt>
                <c:pt idx="768">
                  <c:v>-11.313518440227407</c:v>
                </c:pt>
                <c:pt idx="769">
                  <c:v>-11.32401679339781</c:v>
                </c:pt>
                <c:pt idx="770">
                  <c:v>-11.334515151604258</c:v>
                </c:pt>
                <c:pt idx="771">
                  <c:v>-11.345013514846563</c:v>
                </c:pt>
                <c:pt idx="772">
                  <c:v>-11.355511883124546</c:v>
                </c:pt>
                <c:pt idx="773">
                  <c:v>-11.366010256438019</c:v>
                </c:pt>
                <c:pt idx="774">
                  <c:v>-11.376508634786799</c:v>
                </c:pt>
                <c:pt idx="775">
                  <c:v>-11.387007018170703</c:v>
                </c:pt>
                <c:pt idx="776">
                  <c:v>-11.397505406589547</c:v>
                </c:pt>
                <c:pt idx="777">
                  <c:v>-11.408003800043145</c:v>
                </c:pt>
                <c:pt idx="778">
                  <c:v>-11.418502198531316</c:v>
                </c:pt>
                <c:pt idx="779">
                  <c:v>-11.429000602053874</c:v>
                </c:pt>
                <c:pt idx="780">
                  <c:v>-11.439499010610636</c:v>
                </c:pt>
                <c:pt idx="781">
                  <c:v>-11.449997424201417</c:v>
                </c:pt>
                <c:pt idx="782">
                  <c:v>-11.460495842826035</c:v>
                </c:pt>
                <c:pt idx="783">
                  <c:v>-11.470994266484304</c:v>
                </c:pt>
                <c:pt idx="784">
                  <c:v>-11.481492695176041</c:v>
                </c:pt>
                <c:pt idx="785">
                  <c:v>-11.491991128901061</c:v>
                </c:pt>
                <c:pt idx="786">
                  <c:v>-11.502489567659181</c:v>
                </c:pt>
                <c:pt idx="787">
                  <c:v>-11.512988011450217</c:v>
                </c:pt>
                <c:pt idx="788">
                  <c:v>-11.523486460273986</c:v>
                </c:pt>
                <c:pt idx="789">
                  <c:v>-11.533984914130302</c:v>
                </c:pt>
                <c:pt idx="790">
                  <c:v>-11.544483373018984</c:v>
                </c:pt>
                <c:pt idx="791">
                  <c:v>-11.554981836939845</c:v>
                </c:pt>
                <c:pt idx="792">
                  <c:v>-11.565480305892702</c:v>
                </c:pt>
                <c:pt idx="793">
                  <c:v>-11.575978779877373</c:v>
                </c:pt>
                <c:pt idx="794">
                  <c:v>-11.586477258893671</c:v>
                </c:pt>
                <c:pt idx="795">
                  <c:v>-11.596975742941416</c:v>
                </c:pt>
                <c:pt idx="796">
                  <c:v>-11.607474232020421</c:v>
                </c:pt>
                <c:pt idx="797">
                  <c:v>-11.617972726130501</c:v>
                </c:pt>
                <c:pt idx="798">
                  <c:v>-11.628471225271475</c:v>
                </c:pt>
                <c:pt idx="799">
                  <c:v>-11.63896972944316</c:v>
                </c:pt>
                <c:pt idx="800">
                  <c:v>-11.649468238645369</c:v>
                </c:pt>
                <c:pt idx="801">
                  <c:v>-11.659966752877919</c:v>
                </c:pt>
                <c:pt idx="802">
                  <c:v>-11.670465272140627</c:v>
                </c:pt>
                <c:pt idx="803">
                  <c:v>-11.680963796433307</c:v>
                </c:pt>
                <c:pt idx="804">
                  <c:v>-11.691462325755777</c:v>
                </c:pt>
                <c:pt idx="805">
                  <c:v>-11.701960860107853</c:v>
                </c:pt>
                <c:pt idx="806">
                  <c:v>-11.712459399489351</c:v>
                </c:pt>
                <c:pt idx="807">
                  <c:v>-11.722957943900086</c:v>
                </c:pt>
                <c:pt idx="808">
                  <c:v>-11.733456493339876</c:v>
                </c:pt>
                <c:pt idx="809">
                  <c:v>-11.743955047808537</c:v>
                </c:pt>
                <c:pt idx="810">
                  <c:v>-11.754453607305884</c:v>
                </c:pt>
                <c:pt idx="811">
                  <c:v>-11.764952171831734</c:v>
                </c:pt>
                <c:pt idx="812">
                  <c:v>-11.775450741385901</c:v>
                </c:pt>
                <c:pt idx="813">
                  <c:v>-11.785949315968205</c:v>
                </c:pt>
                <c:pt idx="814">
                  <c:v>-11.796447895578458</c:v>
                </c:pt>
                <c:pt idx="815">
                  <c:v>-11.80694648021648</c:v>
                </c:pt>
                <c:pt idx="816">
                  <c:v>-11.817445069882083</c:v>
                </c:pt>
                <c:pt idx="817">
                  <c:v>-11.827943664575088</c:v>
                </c:pt>
                <c:pt idx="818">
                  <c:v>-11.838442264295306</c:v>
                </c:pt>
                <c:pt idx="819">
                  <c:v>-11.848940869042558</c:v>
                </c:pt>
                <c:pt idx="820">
                  <c:v>-11.859439478816656</c:v>
                </c:pt>
                <c:pt idx="821">
                  <c:v>-11.869938093617419</c:v>
                </c:pt>
                <c:pt idx="822">
                  <c:v>-11.880436713444661</c:v>
                </c:pt>
                <c:pt idx="823">
                  <c:v>-11.890935338298201</c:v>
                </c:pt>
                <c:pt idx="824">
                  <c:v>-11.901433968177853</c:v>
                </c:pt>
                <c:pt idx="825">
                  <c:v>-11.911932603083434</c:v>
                </c:pt>
                <c:pt idx="826">
                  <c:v>-11.92243124301476</c:v>
                </c:pt>
                <c:pt idx="827">
                  <c:v>-11.932929887971646</c:v>
                </c:pt>
                <c:pt idx="828">
                  <c:v>-11.94342853795391</c:v>
                </c:pt>
                <c:pt idx="829">
                  <c:v>-11.953927192961368</c:v>
                </c:pt>
                <c:pt idx="830">
                  <c:v>-11.964425852993834</c:v>
                </c:pt>
                <c:pt idx="831">
                  <c:v>-11.974924518051127</c:v>
                </c:pt>
                <c:pt idx="832">
                  <c:v>-11.985423188133062</c:v>
                </c:pt>
                <c:pt idx="833">
                  <c:v>-11.995921863239454</c:v>
                </c:pt>
                <c:pt idx="834">
                  <c:v>-12.006420543370123</c:v>
                </c:pt>
                <c:pt idx="835">
                  <c:v>-12.01691922852488</c:v>
                </c:pt>
                <c:pt idx="836">
                  <c:v>-12.027417918703545</c:v>
                </c:pt>
                <c:pt idx="837">
                  <c:v>-12.037916613905933</c:v>
                </c:pt>
                <c:pt idx="838">
                  <c:v>-12.04841531413186</c:v>
                </c:pt>
                <c:pt idx="839">
                  <c:v>-12.058914019381143</c:v>
                </c:pt>
                <c:pt idx="840">
                  <c:v>-12.069412729653598</c:v>
                </c:pt>
                <c:pt idx="841">
                  <c:v>-12.07991144494904</c:v>
                </c:pt>
                <c:pt idx="842">
                  <c:v>-12.090410165267286</c:v>
                </c:pt>
                <c:pt idx="843">
                  <c:v>-12.100908890608153</c:v>
                </c:pt>
                <c:pt idx="844">
                  <c:v>-12.111407620971457</c:v>
                </c:pt>
                <c:pt idx="845">
                  <c:v>-12.121906356357014</c:v>
                </c:pt>
                <c:pt idx="846">
                  <c:v>-12.132405096764639</c:v>
                </c:pt>
                <c:pt idx="847">
                  <c:v>-12.14290384219415</c:v>
                </c:pt>
                <c:pt idx="848">
                  <c:v>-12.153402592645362</c:v>
                </c:pt>
                <c:pt idx="849">
                  <c:v>-12.163901348118092</c:v>
                </c:pt>
                <c:pt idx="850">
                  <c:v>-12.174400108612156</c:v>
                </c:pt>
                <c:pt idx="851">
                  <c:v>-12.18489887412737</c:v>
                </c:pt>
                <c:pt idx="852">
                  <c:v>-12.195397644663551</c:v>
                </c:pt>
                <c:pt idx="853">
                  <c:v>-12.205896420220515</c:v>
                </c:pt>
                <c:pt idx="854">
                  <c:v>-12.216395200798079</c:v>
                </c:pt>
                <c:pt idx="855">
                  <c:v>-12.226893986396057</c:v>
                </c:pt>
                <c:pt idx="856">
                  <c:v>-12.237392777014266</c:v>
                </c:pt>
                <c:pt idx="857">
                  <c:v>-12.247891572652524</c:v>
                </c:pt>
                <c:pt idx="858">
                  <c:v>-12.258390373310645</c:v>
                </c:pt>
                <c:pt idx="859">
                  <c:v>-12.268889178988447</c:v>
                </c:pt>
                <c:pt idx="860">
                  <c:v>-12.279387989685745</c:v>
                </c:pt>
                <c:pt idx="861">
                  <c:v>-12.289886805402356</c:v>
                </c:pt>
                <c:pt idx="862">
                  <c:v>-12.300385626138096</c:v>
                </c:pt>
                <c:pt idx="863">
                  <c:v>-12.310884451892782</c:v>
                </c:pt>
                <c:pt idx="864">
                  <c:v>-12.321383282666231</c:v>
                </c:pt>
                <c:pt idx="865">
                  <c:v>-12.331882118458257</c:v>
                </c:pt>
                <c:pt idx="866">
                  <c:v>-12.342380959268677</c:v>
                </c:pt>
                <c:pt idx="867">
                  <c:v>-12.352879805097308</c:v>
                </c:pt>
                <c:pt idx="868">
                  <c:v>-12.363378655943965</c:v>
                </c:pt>
                <c:pt idx="869">
                  <c:v>-12.373877511808466</c:v>
                </c:pt>
                <c:pt idx="870">
                  <c:v>-12.384376372690626</c:v>
                </c:pt>
                <c:pt idx="871">
                  <c:v>-12.394875238590263</c:v>
                </c:pt>
                <c:pt idx="872">
                  <c:v>-12.405374109507193</c:v>
                </c:pt>
                <c:pt idx="873">
                  <c:v>-12.415872985441231</c:v>
                </c:pt>
                <c:pt idx="874">
                  <c:v>-12.426371866392193</c:v>
                </c:pt>
                <c:pt idx="875">
                  <c:v>-12.436870752359896</c:v>
                </c:pt>
                <c:pt idx="876">
                  <c:v>-12.447369643344157</c:v>
                </c:pt>
                <c:pt idx="877">
                  <c:v>-12.457868539344791</c:v>
                </c:pt>
                <c:pt idx="878">
                  <c:v>-12.468367440361614</c:v>
                </c:pt>
                <c:pt idx="879">
                  <c:v>-12.478866346394446</c:v>
                </c:pt>
                <c:pt idx="880">
                  <c:v>-12.489365257443099</c:v>
                </c:pt>
                <c:pt idx="881">
                  <c:v>-12.499864173507392</c:v>
                </c:pt>
                <c:pt idx="882">
                  <c:v>-12.51036309458714</c:v>
                </c:pt>
                <c:pt idx="883">
                  <c:v>-12.520862020682159</c:v>
                </c:pt>
                <c:pt idx="884">
                  <c:v>-12.531360951792267</c:v>
                </c:pt>
                <c:pt idx="885">
                  <c:v>-12.54185988791728</c:v>
                </c:pt>
                <c:pt idx="886">
                  <c:v>-12.552358829057013</c:v>
                </c:pt>
                <c:pt idx="887">
                  <c:v>-12.562857775211285</c:v>
                </c:pt>
                <c:pt idx="888">
                  <c:v>-12.57335672637991</c:v>
                </c:pt>
                <c:pt idx="889">
                  <c:v>-12.583855682562703</c:v>
                </c:pt>
                <c:pt idx="890">
                  <c:v>-12.594354643759484</c:v>
                </c:pt>
                <c:pt idx="891">
                  <c:v>-12.604853609970068</c:v>
                </c:pt>
                <c:pt idx="892">
                  <c:v>-12.615352581194269</c:v>
                </c:pt>
                <c:pt idx="893">
                  <c:v>-12.625851557431906</c:v>
                </c:pt>
                <c:pt idx="894">
                  <c:v>-12.636350538682795</c:v>
                </c:pt>
                <c:pt idx="895">
                  <c:v>-12.646849524946751</c:v>
                </c:pt>
                <c:pt idx="896">
                  <c:v>-12.657348516223593</c:v>
                </c:pt>
                <c:pt idx="897">
                  <c:v>-12.667847512513134</c:v>
                </c:pt>
                <c:pt idx="898">
                  <c:v>-12.678346513815194</c:v>
                </c:pt>
                <c:pt idx="899">
                  <c:v>-12.688845520129588</c:v>
                </c:pt>
                <c:pt idx="900">
                  <c:v>-12.699344531456131</c:v>
                </c:pt>
                <c:pt idx="901">
                  <c:v>-12.709843547794639</c:v>
                </c:pt>
                <c:pt idx="902">
                  <c:v>-12.720342569144931</c:v>
                </c:pt>
                <c:pt idx="903">
                  <c:v>-12.730841595506822</c:v>
                </c:pt>
                <c:pt idx="904">
                  <c:v>-12.741340626880129</c:v>
                </c:pt>
                <c:pt idx="905">
                  <c:v>-12.751839663264668</c:v>
                </c:pt>
                <c:pt idx="906">
                  <c:v>-12.762338704660255</c:v>
                </c:pt>
                <c:pt idx="907">
                  <c:v>-12.772837751066707</c:v>
                </c:pt>
                <c:pt idx="908">
                  <c:v>-12.78333680248384</c:v>
                </c:pt>
                <c:pt idx="909">
                  <c:v>-12.79383585891147</c:v>
                </c:pt>
                <c:pt idx="910">
                  <c:v>-12.804334920349413</c:v>
                </c:pt>
                <c:pt idx="911">
                  <c:v>-12.814833986797488</c:v>
                </c:pt>
                <c:pt idx="912">
                  <c:v>-12.825333058255509</c:v>
                </c:pt>
                <c:pt idx="913">
                  <c:v>-12.835832134723294</c:v>
                </c:pt>
                <c:pt idx="914">
                  <c:v>-12.846331216200658</c:v>
                </c:pt>
                <c:pt idx="915">
                  <c:v>-12.856830302687419</c:v>
                </c:pt>
                <c:pt idx="916">
                  <c:v>-12.867329394183391</c:v>
                </c:pt>
                <c:pt idx="917">
                  <c:v>-12.877828490688394</c:v>
                </c:pt>
                <c:pt idx="918">
                  <c:v>-12.888327592202241</c:v>
                </c:pt>
                <c:pt idx="919">
                  <c:v>-12.898826698724751</c:v>
                </c:pt>
                <c:pt idx="920">
                  <c:v>-12.909325810255739</c:v>
                </c:pt>
                <c:pt idx="921">
                  <c:v>-12.919824926795021</c:v>
                </c:pt>
                <c:pt idx="922">
                  <c:v>-12.930324048342415</c:v>
                </c:pt>
                <c:pt idx="923">
                  <c:v>-12.940823174897737</c:v>
                </c:pt>
                <c:pt idx="924">
                  <c:v>-12.951322306460803</c:v>
                </c:pt>
                <c:pt idx="925">
                  <c:v>-12.961821443031429</c:v>
                </c:pt>
                <c:pt idx="926">
                  <c:v>-12.972320584609433</c:v>
                </c:pt>
                <c:pt idx="927">
                  <c:v>-12.982819731194629</c:v>
                </c:pt>
                <c:pt idx="928">
                  <c:v>-12.993318882786836</c:v>
                </c:pt>
                <c:pt idx="929">
                  <c:v>-13.00381803938587</c:v>
                </c:pt>
                <c:pt idx="930">
                  <c:v>-13.014317200991545</c:v>
                </c:pt>
                <c:pt idx="931">
                  <c:v>-13.024816367603682</c:v>
                </c:pt>
                <c:pt idx="932">
                  <c:v>-13.035315539222093</c:v>
                </c:pt>
                <c:pt idx="933">
                  <c:v>-13.045814715846598</c:v>
                </c:pt>
                <c:pt idx="934">
                  <c:v>-13.056313897477011</c:v>
                </c:pt>
                <c:pt idx="935">
                  <c:v>-13.06681308411315</c:v>
                </c:pt>
                <c:pt idx="936">
                  <c:v>-13.07731227575483</c:v>
                </c:pt>
                <c:pt idx="937">
                  <c:v>-13.087811472401869</c:v>
                </c:pt>
                <c:pt idx="938">
                  <c:v>-13.098310674054082</c:v>
                </c:pt>
                <c:pt idx="939">
                  <c:v>-13.108809880711286</c:v>
                </c:pt>
                <c:pt idx="940">
                  <c:v>-13.119309092373298</c:v>
                </c:pt>
                <c:pt idx="941">
                  <c:v>-13.129808309039934</c:v>
                </c:pt>
                <c:pt idx="942">
                  <c:v>-13.140307530711011</c:v>
                </c:pt>
                <c:pt idx="943">
                  <c:v>-13.150806757386347</c:v>
                </c:pt>
                <c:pt idx="944">
                  <c:v>-13.161305989065756</c:v>
                </c:pt>
                <c:pt idx="945">
                  <c:v>-13.171805225749056</c:v>
                </c:pt>
                <c:pt idx="946">
                  <c:v>-13.182304467436062</c:v>
                </c:pt>
                <c:pt idx="947">
                  <c:v>-13.19280371412659</c:v>
                </c:pt>
                <c:pt idx="948">
                  <c:v>-13.203302965820459</c:v>
                </c:pt>
                <c:pt idx="949">
                  <c:v>-13.213802222517485</c:v>
                </c:pt>
                <c:pt idx="950">
                  <c:v>-13.224301484217484</c:v>
                </c:pt>
                <c:pt idx="951">
                  <c:v>-13.234800750920273</c:v>
                </c:pt>
                <c:pt idx="952">
                  <c:v>-13.245300022625669</c:v>
                </c:pt>
                <c:pt idx="953">
                  <c:v>-13.255799299333486</c:v>
                </c:pt>
                <c:pt idx="954">
                  <c:v>-13.266298581043541</c:v>
                </c:pt>
                <c:pt idx="955">
                  <c:v>-13.276797867755652</c:v>
                </c:pt>
                <c:pt idx="956">
                  <c:v>-13.287297159469636</c:v>
                </c:pt>
                <c:pt idx="957">
                  <c:v>-13.29779645618531</c:v>
                </c:pt>
                <c:pt idx="958">
                  <c:v>-13.308295757902489</c:v>
                </c:pt>
                <c:pt idx="959">
                  <c:v>-13.318795064620989</c:v>
                </c:pt>
                <c:pt idx="960">
                  <c:v>-13.329294376340627</c:v>
                </c:pt>
                <c:pt idx="961">
                  <c:v>-13.339793693061221</c:v>
                </c:pt>
                <c:pt idx="962">
                  <c:v>-13.350293014782586</c:v>
                </c:pt>
                <c:pt idx="963">
                  <c:v>-13.36079234150454</c:v>
                </c:pt>
                <c:pt idx="964">
                  <c:v>-13.371291673226898</c:v>
                </c:pt>
                <c:pt idx="965">
                  <c:v>-13.381791009949477</c:v>
                </c:pt>
                <c:pt idx="966">
                  <c:v>-13.392290351672095</c:v>
                </c:pt>
                <c:pt idx="967">
                  <c:v>-13.402789698394567</c:v>
                </c:pt>
                <c:pt idx="968">
                  <c:v>-13.41328905011671</c:v>
                </c:pt>
                <c:pt idx="969">
                  <c:v>-13.423788406838339</c:v>
                </c:pt>
                <c:pt idx="970">
                  <c:v>-13.434287768559273</c:v>
                </c:pt>
                <c:pt idx="971">
                  <c:v>-13.444787135279327</c:v>
                </c:pt>
                <c:pt idx="972">
                  <c:v>-13.45528650699832</c:v>
                </c:pt>
                <c:pt idx="973">
                  <c:v>-13.465785883716066</c:v>
                </c:pt>
                <c:pt idx="974">
                  <c:v>-13.476285265432383</c:v>
                </c:pt>
                <c:pt idx="975">
                  <c:v>-13.486784652147087</c:v>
                </c:pt>
                <c:pt idx="976">
                  <c:v>-13.497284043859995</c:v>
                </c:pt>
                <c:pt idx="977">
                  <c:v>-13.507783440570924</c:v>
                </c:pt>
                <c:pt idx="978">
                  <c:v>-13.518282842279689</c:v>
                </c:pt>
                <c:pt idx="979">
                  <c:v>-13.528782248986108</c:v>
                </c:pt>
                <c:pt idx="980">
                  <c:v>-13.539281660689996</c:v>
                </c:pt>
                <c:pt idx="981">
                  <c:v>-13.549781077391172</c:v>
                </c:pt>
                <c:pt idx="982">
                  <c:v>-13.560280499089451</c:v>
                </c:pt>
                <c:pt idx="983">
                  <c:v>-13.570779925784651</c:v>
                </c:pt>
                <c:pt idx="984">
                  <c:v>-13.581279357476587</c:v>
                </c:pt>
                <c:pt idx="985">
                  <c:v>-13.591778794165077</c:v>
                </c:pt>
                <c:pt idx="986">
                  <c:v>-13.602278235849935</c:v>
                </c:pt>
                <c:pt idx="987">
                  <c:v>-13.612777682530981</c:v>
                </c:pt>
                <c:pt idx="988">
                  <c:v>-13.623277134208029</c:v>
                </c:pt>
                <c:pt idx="989">
                  <c:v>-13.633776590880899</c:v>
                </c:pt>
                <c:pt idx="990">
                  <c:v>-13.644276052549404</c:v>
                </c:pt>
                <c:pt idx="991">
                  <c:v>-13.654775519213363</c:v>
                </c:pt>
                <c:pt idx="992">
                  <c:v>-13.665274990872591</c:v>
                </c:pt>
                <c:pt idx="993">
                  <c:v>-13.675774467526907</c:v>
                </c:pt>
                <c:pt idx="994">
                  <c:v>-13.686273949176124</c:v>
                </c:pt>
                <c:pt idx="995">
                  <c:v>-13.696773435820061</c:v>
                </c:pt>
                <c:pt idx="996">
                  <c:v>-13.707272927458535</c:v>
                </c:pt>
                <c:pt idx="997">
                  <c:v>-13.717772424091361</c:v>
                </c:pt>
                <c:pt idx="998">
                  <c:v>-13.728271925718358</c:v>
                </c:pt>
                <c:pt idx="999">
                  <c:v>-13.738771432339341</c:v>
                </c:pt>
                <c:pt idx="1000">
                  <c:v>-13.749270943954127</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Pandora (Pro24-6G BS)</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0.02</c:v>
                </c:pt>
                <c:pt idx="2">
                  <c:v>0.04</c:v>
                </c:pt>
                <c:pt idx="3">
                  <c:v>0.62</c:v>
                </c:pt>
                <c:pt idx="4">
                  <c:v>0.66</c:v>
                </c:pt>
                <c:pt idx="5">
                  <c:v>0.68</c:v>
                </c:pt>
                <c:pt idx="6">
                  <c:v>0.8</c:v>
                </c:pt>
                <c:pt idx="7">
                  <c:v>0.84</c:v>
                </c:pt>
                <c:pt idx="8">
                  <c:v>0.88</c:v>
                </c:pt>
                <c:pt idx="9">
                  <c:v>0.92</c:v>
                </c:pt>
                <c:pt idx="10">
                  <c:v>0.96</c:v>
                </c:pt>
                <c:pt idx="11">
                  <c:v>1</c:v>
                </c:pt>
                <c:pt idx="12">
                  <c:v>1.08</c:v>
                </c:pt>
                <c:pt idx="13">
                  <c:v>2</c:v>
                </c:pt>
                <c:pt idx="14">
                  <c:v>2</c:v>
                </c:pt>
                <c:pt idx="15">
                  <c:v>2</c:v>
                </c:pt>
                <c:pt idx="16">
                  <c:v>2</c:v>
                </c:pt>
                <c:pt idx="17">
                  <c:v>2</c:v>
                </c:pt>
                <c:pt idx="18">
                  <c:v>2</c:v>
                </c:pt>
                <c:pt idx="19">
                  <c:v>2</c:v>
                </c:pt>
                <c:pt idx="20">
                  <c:v>2</c:v>
                </c:pt>
                <c:pt idx="21">
                  <c:v>2</c:v>
                </c:pt>
                <c:pt idx="22">
                  <c:v>2</c:v>
                </c:pt>
              </c:numCache>
            </c:numRef>
          </c:xVal>
          <c:yVal>
            <c:numRef>
              <c:f>Propu!$B$4:$X$4</c:f>
              <c:numCache>
                <c:formatCode>General</c:formatCode>
                <c:ptCount val="23"/>
                <c:pt idx="0">
                  <c:v>0</c:v>
                </c:pt>
                <c:pt idx="1">
                  <c:v>250</c:v>
                </c:pt>
                <c:pt idx="2">
                  <c:v>210</c:v>
                </c:pt>
                <c:pt idx="3">
                  <c:v>160</c:v>
                </c:pt>
                <c:pt idx="4">
                  <c:v>150</c:v>
                </c:pt>
                <c:pt idx="5">
                  <c:v>142</c:v>
                </c:pt>
                <c:pt idx="6">
                  <c:v>62</c:v>
                </c:pt>
                <c:pt idx="7">
                  <c:v>48</c:v>
                </c:pt>
                <c:pt idx="8">
                  <c:v>34</c:v>
                </c:pt>
                <c:pt idx="9">
                  <c:v>24</c:v>
                </c:pt>
                <c:pt idx="10">
                  <c:v>15</c:v>
                </c:pt>
                <c:pt idx="11">
                  <c:v>10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val="252"/>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992"/>
</file>

<file path=xl/ctrlProps/ctrlProp12.xml><?xml version="1.0" encoding="utf-8"?>
<formControlPr xmlns="http://schemas.microsoft.com/office/spreadsheetml/2009/9/main" objectType="Spin" dx="15" fmlaLink="$C$12" inc="100" max="30000" noThreeD="1" page="10" val="2895"/>
</file>

<file path=xl/ctrlProps/ctrlProp13.xml><?xml version="1.0" encoding="utf-8"?>
<formControlPr xmlns="http://schemas.microsoft.com/office/spreadsheetml/2009/9/main" objectType="Spin" dx="15" fmlaLink="$C$12" inc="100" max="30000" noThreeD="1" page="10" val="2895"/>
</file>

<file path=xl/ctrlProps/ctrlProp14.xml><?xml version="1.0" encoding="utf-8"?>
<formControlPr xmlns="http://schemas.microsoft.com/office/spreadsheetml/2009/9/main" objectType="Spin" dx="15" fmlaLink="Stabilito!C12" inc="100" max="30000" noThreeD="1" page="10" val="2895"/>
</file>

<file path=xl/ctrlProps/ctrlProp15.xml><?xml version="1.0" encoding="utf-8"?>
<formControlPr xmlns="http://schemas.microsoft.com/office/spreadsheetml/2009/9/main" objectType="Spin" dx="15" fmlaLink="$B$44" inc="50" max="30000" noThreeD="1" page="10" val="310"/>
</file>

<file path=xl/ctrlProps/ctrlProp16.xml><?xml version="1.0" encoding="utf-8"?>
<formControlPr xmlns="http://schemas.microsoft.com/office/spreadsheetml/2009/9/main" objectType="Spin" dx="15" fmlaLink="$B$46" inc="50" max="30000" noThreeD="1" page="10" val="310"/>
</file>

<file path=xl/ctrlProps/ctrlProp17.xml><?xml version="1.0" encoding="utf-8"?>
<formControlPr xmlns="http://schemas.microsoft.com/office/spreadsheetml/2009/9/main" objectType="Spin" dx="15" fmlaLink="$B$52" inc="50" max="30000" noThreeD="1" page="10" val="299"/>
</file>

<file path=xl/ctrlProps/ctrlProp18.xml><?xml version="1.0" encoding="utf-8"?>
<formControlPr xmlns="http://schemas.microsoft.com/office/spreadsheetml/2009/9/main" objectType="Spin" dx="15" fmlaLink="$B$54" inc="5" max="30000" noThreeD="1" page="10" val="29"/>
</file>

<file path=xl/ctrlProps/ctrlProp19.xml><?xml version="1.0" encoding="utf-8"?>
<formControlPr xmlns="http://schemas.microsoft.com/office/spreadsheetml/2009/9/main" objectType="Spin" dx="15" fmlaLink="Stabilito!C12" inc="100" max="30000" noThreeD="1" page="10" val="2895"/>
</file>

<file path=xl/ctrlProps/ctrlProp2.xml><?xml version="1.0" encoding="utf-8"?>
<formControlPr xmlns="http://schemas.microsoft.com/office/spreadsheetml/2009/9/main" objectType="Spin" dx="15" fmlaLink="$C$12" inc="100" max="30000" noThreeD="1" page="10" val="2895"/>
</file>

<file path=xl/ctrlProps/ctrlProp20.xml><?xml version="1.0" encoding="utf-8"?>
<formControlPr xmlns="http://schemas.microsoft.com/office/spreadsheetml/2009/9/main" objectType="Spin" dx="15" fmlaLink="Stabilito!C12" inc="100" max="30000" noThreeD="1" page="10" val="2895"/>
</file>

<file path=xl/ctrlProps/ctrlProp3.xml><?xml version="1.0" encoding="utf-8"?>
<formControlPr xmlns="http://schemas.microsoft.com/office/spreadsheetml/2009/9/main" objectType="Spin" dx="15" fmlaLink="$C$13" inc="50" max="30000" noThreeD="1" page="10" val="530"/>
</file>

<file path=xl/ctrlProps/ctrlProp4.xml><?xml version="1.0" encoding="utf-8"?>
<formControlPr xmlns="http://schemas.microsoft.com/office/spreadsheetml/2009/9/main" objectType="Spin" dx="15" fmlaLink="$C$24" inc="20" max="30000" noThreeD="1" page="10" val="84"/>
</file>

<file path=xl/ctrlProps/ctrlProp5.xml><?xml version="1.0" encoding="utf-8"?>
<formControlPr xmlns="http://schemas.microsoft.com/office/spreadsheetml/2009/9/main" objectType="Spin" dx="15" fmlaLink="$C$28" inc="10" max="30000" noThreeD="1" page="10" val="170"/>
</file>

<file path=xl/ctrlProps/ctrlProp6.xml><?xml version="1.0" encoding="utf-8"?>
<formControlPr xmlns="http://schemas.microsoft.com/office/spreadsheetml/2009/9/main" objectType="Spin" dx="15" fmlaLink="$C$29" inc="10" max="30000" noThreeD="1" page="10" val="80"/>
</file>

<file path=xl/ctrlProps/ctrlProp7.xml><?xml version="1.0" encoding="utf-8"?>
<formControlPr xmlns="http://schemas.microsoft.com/office/spreadsheetml/2009/9/main" objectType="Spin" dx="15" fmlaLink="$C$30" inc="10" max="30000" noThreeD="1" page="10" val="120"/>
</file>

<file path=xl/ctrlProps/ctrlProp8.xml><?xml version="1.0" encoding="utf-8"?>
<formControlPr xmlns="http://schemas.microsoft.com/office/spreadsheetml/2009/9/main" objectType="Spin" dx="15" fmlaLink="$C$31" inc="10" max="30000" noThreeD="1" page="10" val="107"/>
</file>

<file path=xl/ctrlProps/ctrlProp9.xml><?xml version="1.0" encoding="utf-8"?>
<formControlPr xmlns="http://schemas.microsoft.com/office/spreadsheetml/2009/9/main" objectType="Spin" dx="15" fmlaLink="$C$32" max="30000" noThreeD="1" page="10" val="3"/>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372074" y="191052"/>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3</xdr:col>
      <xdr:colOff>1270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752475</xdr:colOff>
          <xdr:row>22</xdr:row>
          <xdr:rowOff>0</xdr:rowOff>
        </xdr:from>
        <xdr:to>
          <xdr:col>3</xdr:col>
          <xdr:colOff>895350</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11</xdr:row>
          <xdr:rowOff>0</xdr:rowOff>
        </xdr:from>
        <xdr:to>
          <xdr:col>2</xdr:col>
          <xdr:colOff>895350</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12</xdr:row>
          <xdr:rowOff>0</xdr:rowOff>
        </xdr:from>
        <xdr:to>
          <xdr:col>2</xdr:col>
          <xdr:colOff>895350</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22</xdr:row>
          <xdr:rowOff>161925</xdr:rowOff>
        </xdr:from>
        <xdr:to>
          <xdr:col>3</xdr:col>
          <xdr:colOff>895350</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27</xdr:row>
          <xdr:rowOff>0</xdr:rowOff>
        </xdr:from>
        <xdr:to>
          <xdr:col>3</xdr:col>
          <xdr:colOff>0</xdr:colOff>
          <xdr:row>28</xdr:row>
          <xdr:rowOff>9525</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0</xdr:rowOff>
        </xdr:from>
        <xdr:to>
          <xdr:col>3</xdr:col>
          <xdr:colOff>0</xdr:colOff>
          <xdr:row>29</xdr:row>
          <xdr:rowOff>9525</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161925</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30</xdr:row>
          <xdr:rowOff>0</xdr:rowOff>
        </xdr:from>
        <xdr:to>
          <xdr:col>3</xdr:col>
          <xdr:colOff>0</xdr:colOff>
          <xdr:row>30</xdr:row>
          <xdr:rowOff>161925</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31</xdr:row>
          <xdr:rowOff>0</xdr:rowOff>
        </xdr:from>
        <xdr:to>
          <xdr:col>2</xdr:col>
          <xdr:colOff>895350</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12</xdr:row>
          <xdr:rowOff>161925</xdr:rowOff>
        </xdr:from>
        <xdr:to>
          <xdr:col>4</xdr:col>
          <xdr:colOff>0</xdr:colOff>
          <xdr:row>13</xdr:row>
          <xdr:rowOff>161925</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16577" y="8076532"/>
          <a:ext cx="1043871" cy="1051229"/>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161925</xdr:rowOff>
        </xdr:from>
        <xdr:to>
          <xdr:col>4</xdr:col>
          <xdr:colOff>0</xdr:colOff>
          <xdr:row>11</xdr:row>
          <xdr:rowOff>9525</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9525</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9525</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9525</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94</xdr:row>
          <xdr:rowOff>76200</xdr:rowOff>
        </xdr:from>
        <xdr:to>
          <xdr:col>3</xdr:col>
          <xdr:colOff>762000</xdr:colOff>
          <xdr:row>100</xdr:row>
          <xdr:rowOff>95250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9525</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330265" y="6607175"/>
          <a:ext cx="1470084" cy="1176588"/>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104775</xdr:rowOff>
        </xdr:from>
        <xdr:to>
          <xdr:col>20</xdr:col>
          <xdr:colOff>295275</xdr:colOff>
          <xdr:row>1013</xdr:row>
          <xdr:rowOff>28575</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1024</xdr:row>
          <xdr:rowOff>161925</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1006</xdr:row>
          <xdr:rowOff>28575</xdr:rowOff>
        </xdr:from>
        <xdr:to>
          <xdr:col>24</xdr:col>
          <xdr:colOff>152400</xdr:colOff>
          <xdr:row>1007</xdr:row>
          <xdr:rowOff>104775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161925</xdr:rowOff>
        </xdr:from>
        <xdr:to>
          <xdr:col>10</xdr:col>
          <xdr:colOff>581025</xdr:colOff>
          <xdr:row>1019</xdr:row>
          <xdr:rowOff>142875</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180975</xdr:rowOff>
        </xdr:from>
        <xdr:to>
          <xdr:col>11</xdr:col>
          <xdr:colOff>266700</xdr:colOff>
          <xdr:row>1016</xdr:row>
          <xdr:rowOff>66675</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76200</xdr:rowOff>
        </xdr:from>
        <xdr:to>
          <xdr:col>11</xdr:col>
          <xdr:colOff>238125</xdr:colOff>
          <xdr:row>1017</xdr:row>
          <xdr:rowOff>161925</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66675</xdr:rowOff>
        </xdr:from>
        <xdr:to>
          <xdr:col>17</xdr:col>
          <xdr:colOff>276225</xdr:colOff>
          <xdr:row>1024</xdr:row>
          <xdr:rowOff>161925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238125</xdr:colOff>
          <xdr:row>1010</xdr:row>
          <xdr:rowOff>85725</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104775</xdr:rowOff>
        </xdr:from>
        <xdr:to>
          <xdr:col>12</xdr:col>
          <xdr:colOff>238125</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104775</xdr:rowOff>
        </xdr:from>
        <xdr:to>
          <xdr:col>3</xdr:col>
          <xdr:colOff>542925</xdr:colOff>
          <xdr:row>1007</xdr:row>
          <xdr:rowOff>180975</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180975</xdr:rowOff>
        </xdr:from>
        <xdr:to>
          <xdr:col>16</xdr:col>
          <xdr:colOff>0</xdr:colOff>
          <xdr:row>1026</xdr:row>
          <xdr:rowOff>142875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28575</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409575</xdr:colOff>
          <xdr:row>1006</xdr:row>
          <xdr:rowOff>85725</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190500</xdr:colOff>
          <xdr:row>1014</xdr:row>
          <xdr:rowOff>161925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1076325</xdr:colOff>
          <xdr:row>1019</xdr:row>
          <xdr:rowOff>142875</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142875</xdr:rowOff>
        </xdr:from>
        <xdr:to>
          <xdr:col>20</xdr:col>
          <xdr:colOff>581025</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180975</xdr:colOff>
          <xdr:row>1019</xdr:row>
          <xdr:rowOff>142875</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123825</xdr:rowOff>
        </xdr:from>
        <xdr:to>
          <xdr:col>37</xdr:col>
          <xdr:colOff>276225</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85725</xdr:rowOff>
        </xdr:from>
        <xdr:to>
          <xdr:col>35</xdr:col>
          <xdr:colOff>723900</xdr:colOff>
          <xdr:row>1013</xdr:row>
          <xdr:rowOff>47625</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28575</xdr:rowOff>
        </xdr:from>
        <xdr:to>
          <xdr:col>11</xdr:col>
          <xdr:colOff>561975</xdr:colOff>
          <xdr:row>1038</xdr:row>
          <xdr:rowOff>28575</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28575</xdr:rowOff>
        </xdr:from>
        <xdr:to>
          <xdr:col>12</xdr:col>
          <xdr:colOff>28575</xdr:colOff>
          <xdr:row>1043</xdr:row>
          <xdr:rowOff>28575</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123825</xdr:rowOff>
        </xdr:from>
        <xdr:to>
          <xdr:col>20</xdr:col>
          <xdr:colOff>333375</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1007</xdr:row>
          <xdr:rowOff>114300</xdr:rowOff>
        </xdr:from>
        <xdr:to>
          <xdr:col>32</xdr:col>
          <xdr:colOff>161925</xdr:colOff>
          <xdr:row>1010</xdr:row>
          <xdr:rowOff>85725</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333375</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47625</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676275</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104775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390525</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409575</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419100</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1022</xdr:row>
          <xdr:rowOff>47625</xdr:rowOff>
        </xdr:from>
        <xdr:to>
          <xdr:col>32</xdr:col>
          <xdr:colOff>266700</xdr:colOff>
          <xdr:row>1024</xdr:row>
          <xdr:rowOff>142875</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28575</xdr:rowOff>
        </xdr:from>
        <xdr:to>
          <xdr:col>36</xdr:col>
          <xdr:colOff>161925</xdr:colOff>
          <xdr:row>1020</xdr:row>
          <xdr:rowOff>28575</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695325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47625</xdr:rowOff>
        </xdr:from>
        <xdr:to>
          <xdr:col>35</xdr:col>
          <xdr:colOff>142875</xdr:colOff>
          <xdr:row>1023</xdr:row>
          <xdr:rowOff>47625</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66675</xdr:rowOff>
        </xdr:from>
        <xdr:to>
          <xdr:col>36</xdr:col>
          <xdr:colOff>47625</xdr:colOff>
          <xdr:row>1026</xdr:row>
          <xdr:rowOff>66675</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352425</xdr:colOff>
          <xdr:row>1051</xdr:row>
          <xdr:rowOff>85725</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657225</xdr:colOff>
          <xdr:row>9</xdr:row>
          <xdr:rowOff>200025</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70</xdr:row>
          <xdr:rowOff>28575</xdr:rowOff>
        </xdr:from>
        <xdr:to>
          <xdr:col>12</xdr:col>
          <xdr:colOff>904875</xdr:colOff>
          <xdr:row>87</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137025" y="13214350"/>
          <a:ext cx="2159000" cy="375285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2995275" y="184150"/>
          <a:ext cx="2082800" cy="512762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zoomScale="115" zoomScaleNormal="115" zoomScaleSheetLayoutView="100" workbookViewId="0">
      <selection activeCell="S34" sqref="S34"/>
    </sheetView>
  </sheetViews>
  <sheetFormatPr baseColWidth="10" defaultColWidth="11.42578125" defaultRowHeight="12.75" x14ac:dyDescent="0.2"/>
  <cols>
    <col min="1" max="1" width="2.140625" style="24" customWidth="1"/>
    <col min="2" max="2" width="16.140625" style="24" customWidth="1"/>
    <col min="3" max="3" width="12.85546875" style="31" customWidth="1"/>
    <col min="4" max="4" width="12.85546875" style="24" customWidth="1"/>
    <col min="5" max="5" width="4.140625" style="89" customWidth="1"/>
    <col min="6" max="6" width="10.140625" style="26" bestFit="1" customWidth="1"/>
    <col min="7" max="7" width="10" style="26" bestFit="1" customWidth="1"/>
    <col min="8" max="9" width="8.5703125" style="26" customWidth="1"/>
    <col min="10" max="10" width="5.42578125" style="24" customWidth="1"/>
    <col min="11" max="11" width="2.140625" style="24" customWidth="1"/>
    <col min="12" max="12" width="17" style="24" customWidth="1"/>
    <col min="13" max="13" width="8.5703125" style="24" customWidth="1"/>
    <col min="14" max="15" width="4.140625" style="24" customWidth="1"/>
    <col min="16" max="16" width="8.5703125" style="24" customWidth="1"/>
    <col min="17" max="18" width="2.140625" style="24" customWidth="1"/>
    <col min="19" max="16384" width="11.42578125" style="24"/>
  </cols>
  <sheetData>
    <row r="1" spans="1:20" ht="12.75" customHeight="1" x14ac:dyDescent="0.2">
      <c r="A1" s="19"/>
      <c r="B1" s="20"/>
      <c r="C1" s="21"/>
      <c r="D1" s="20"/>
      <c r="E1" s="88"/>
      <c r="F1" s="22"/>
      <c r="G1" s="22"/>
      <c r="H1" s="22"/>
      <c r="I1" s="22"/>
      <c r="J1" s="20"/>
      <c r="K1" s="20"/>
      <c r="L1" s="20"/>
      <c r="M1" s="20"/>
      <c r="N1" s="20"/>
      <c r="O1" s="20"/>
      <c r="P1" s="20"/>
      <c r="Q1" s="23"/>
    </row>
    <row r="2" spans="1:20" ht="12.75" customHeight="1" x14ac:dyDescent="0.2">
      <c r="A2" s="25"/>
      <c r="C2" s="558" t="s">
        <v>53</v>
      </c>
      <c r="D2" s="558"/>
      <c r="L2" s="147" t="str">
        <f>"Language/Langue"</f>
        <v>Language/Langue</v>
      </c>
      <c r="M2" s="583" t="s">
        <v>1</v>
      </c>
      <c r="N2" s="583"/>
      <c r="O2" s="583"/>
      <c r="P2" s="584"/>
      <c r="Q2" s="27"/>
    </row>
    <row r="3" spans="1:20" ht="12.75" customHeight="1" x14ac:dyDescent="0.2">
      <c r="A3" s="25"/>
      <c r="C3" s="558"/>
      <c r="D3" s="558"/>
      <c r="L3" s="591"/>
      <c r="M3" s="591"/>
      <c r="N3" s="45"/>
      <c r="Q3" s="27"/>
    </row>
    <row r="4" spans="1:20" ht="12.75" customHeight="1" x14ac:dyDescent="0.2">
      <c r="A4" s="25"/>
      <c r="C4" s="559" t="str">
        <f>IF(Lang="Français","Stabilité de fusée à ailerons",IF(Lang="English","Stability for rocket with fins",""))</f>
        <v>Stabilité de fusée à ailerons</v>
      </c>
      <c r="D4" s="559"/>
      <c r="L4" s="33"/>
      <c r="M4" s="583" t="s">
        <v>570</v>
      </c>
      <c r="N4" s="583"/>
      <c r="O4" s="583"/>
      <c r="P4" s="584"/>
      <c r="Q4" s="27"/>
    </row>
    <row r="5" spans="1:20" ht="12.75" customHeight="1" x14ac:dyDescent="0.25">
      <c r="A5" s="25"/>
      <c r="B5" s="28"/>
      <c r="C5" s="540"/>
      <c r="D5" s="540"/>
      <c r="L5" s="33"/>
      <c r="M5" s="565" t="s">
        <v>156</v>
      </c>
      <c r="N5" s="566"/>
      <c r="O5" s="594" t="s">
        <v>157</v>
      </c>
      <c r="P5" s="594"/>
      <c r="Q5" s="29"/>
    </row>
    <row r="6" spans="1:20" ht="12.75" customHeight="1" thickBot="1" x14ac:dyDescent="0.25">
      <c r="A6" s="25"/>
      <c r="B6" s="87"/>
      <c r="C6" s="553" t="str">
        <f>IF(Lang="Français","Remplir les cases jaunes",IF(Lang="English","Fill-in yellow cells only",""))</f>
        <v>Remplir les cases jaunes</v>
      </c>
      <c r="D6" s="553"/>
      <c r="L6" s="139" t="str">
        <f>IF(Lang="Français","Longueur      'L'",IF(Lang="English","Length      'L'",""))</f>
        <v>Longueur      'L'</v>
      </c>
      <c r="M6" s="554">
        <v>0</v>
      </c>
      <c r="N6" s="555"/>
      <c r="O6" s="575">
        <v>0</v>
      </c>
      <c r="P6" s="575"/>
      <c r="Q6" s="29"/>
    </row>
    <row r="7" spans="1:20" ht="12.75" customHeight="1" thickTop="1" thickBot="1" x14ac:dyDescent="0.25">
      <c r="A7" s="25"/>
      <c r="B7" s="31"/>
      <c r="C7" s="561" t="str">
        <f>IF(Lang="Français","Fusée",IF(Lang="English","Rocket",""))</f>
        <v>Fusée</v>
      </c>
      <c r="D7" s="562"/>
      <c r="L7" s="139" t="str">
        <f>IF(Lang="Français","Diamètre     'D1'",IF(Lang="English","Diameter 'D1'",""))</f>
        <v>Diamètre     'D1'</v>
      </c>
      <c r="M7" s="554">
        <v>0</v>
      </c>
      <c r="N7" s="555"/>
      <c r="O7" s="575">
        <v>0</v>
      </c>
      <c r="P7" s="575"/>
      <c r="Q7" s="29"/>
    </row>
    <row r="8" spans="1:20" ht="12.75" customHeight="1" thickTop="1" x14ac:dyDescent="0.2">
      <c r="A8" s="25"/>
      <c r="B8" s="138" t="str">
        <f>IF(Lang="Français","Nom",IF(Lang="English","Name",""))</f>
        <v>Nom</v>
      </c>
      <c r="C8" s="556" t="s">
        <v>571</v>
      </c>
      <c r="D8" s="556"/>
      <c r="E8" s="90"/>
      <c r="K8" s="33"/>
      <c r="L8" s="139" t="str">
        <f>IF(Lang="Français","Diamètre     'D2'",IF(Lang="English","Diameter 'D2'",""))</f>
        <v>Diamètre     'D2'</v>
      </c>
      <c r="M8" s="554">
        <v>0</v>
      </c>
      <c r="N8" s="555"/>
      <c r="O8" s="575">
        <v>0</v>
      </c>
      <c r="P8" s="575"/>
      <c r="Q8" s="29"/>
    </row>
    <row r="9" spans="1:20" ht="12.75" customHeight="1" x14ac:dyDescent="0.2">
      <c r="A9" s="25"/>
      <c r="B9" s="138" t="s">
        <v>4</v>
      </c>
      <c r="C9" s="557" t="s">
        <v>568</v>
      </c>
      <c r="D9" s="557"/>
      <c r="E9" s="90"/>
      <c r="K9" s="33"/>
      <c r="L9" s="139" t="str">
        <f>IF(Lang="Français","Implantation 'x'",IF(Lang="English","Basement 'x'",""))</f>
        <v>Implantation 'x'</v>
      </c>
      <c r="M9" s="554">
        <v>0</v>
      </c>
      <c r="N9" s="555"/>
      <c r="O9" s="575">
        <v>0</v>
      </c>
      <c r="P9" s="575"/>
      <c r="Q9" s="29"/>
    </row>
    <row r="10" spans="1:20" ht="12.75" customHeight="1" x14ac:dyDescent="0.2">
      <c r="A10" s="25"/>
      <c r="B10" s="138" t="s">
        <v>563</v>
      </c>
      <c r="C10" s="537" t="str">
        <f>IF((LEFT(Type_fusee,4)="Mini"),"MF",(IF((RIGHT(Type_fusee,1)="."),"FX","")))</f>
        <v/>
      </c>
      <c r="D10" s="538">
        <v>0</v>
      </c>
      <c r="E10" s="539" t="str">
        <f>IF(C10="","",C10&amp;D10)</f>
        <v/>
      </c>
      <c r="K10" s="33"/>
      <c r="Q10" s="29"/>
    </row>
    <row r="11" spans="1:20" ht="12.75" customHeight="1" x14ac:dyDescent="0.2">
      <c r="A11" s="25"/>
      <c r="B11" s="139" t="s">
        <v>54</v>
      </c>
      <c r="C11" s="563" t="s">
        <v>398</v>
      </c>
      <c r="D11" s="564"/>
      <c r="E11" s="90"/>
      <c r="K11" s="33"/>
      <c r="L11" s="107"/>
      <c r="M11" s="224" t="str">
        <f>IF(Lang="Français","Propu plein",IF(Lang="English","Loaded Motor",""))</f>
        <v>Propu plein</v>
      </c>
      <c r="N11" s="592" t="str">
        <f>IF(Lang="Français","Propu vide",IF(Lang="English","Empty Motor",""))</f>
        <v>Propu vide</v>
      </c>
      <c r="O11" s="593"/>
      <c r="P11" s="224" t="str">
        <f>IF(Lang="Français","Sans propu",IF(Lang="English","Without M",""))</f>
        <v>Sans propu</v>
      </c>
      <c r="Q11" s="29"/>
      <c r="S11" s="385"/>
      <c r="T11" s="386" t="str">
        <f>IF(Lang="Français","Propulseur",IF(Lang="English","Motor",""))</f>
        <v>Propulseur</v>
      </c>
    </row>
    <row r="12" spans="1:20" ht="12.75" customHeight="1" x14ac:dyDescent="0.2">
      <c r="A12" s="25"/>
      <c r="B12" s="139" t="str">
        <f>IF(Lang="Français","Masse",IF(Lang="English","Weight",""))</f>
        <v>Masse</v>
      </c>
      <c r="C12" s="222">
        <v>2895</v>
      </c>
      <c r="D12" s="34" t="s">
        <v>423</v>
      </c>
      <c r="L12" s="108" t="str">
        <f>IF(Lang="Français","Masse propu",IF(Lang="English","Motor Mass",""))</f>
        <v>Masse propu</v>
      </c>
      <c r="M12" s="109">
        <f ca="1">MpropuPlein</f>
        <v>0.15989999999999999</v>
      </c>
      <c r="N12" s="587">
        <f ca="1">MpropuVide</f>
        <v>8.43E-2</v>
      </c>
      <c r="O12" s="588"/>
      <c r="P12" s="110" t="s">
        <v>14</v>
      </c>
      <c r="Q12" s="29"/>
      <c r="S12" s="386" t="str">
        <f>IF(Lang="Français","Haut",IF(Lang="English","Top",""))</f>
        <v>Haut</v>
      </c>
      <c r="T12" s="387">
        <f ca="1">XpropuRef-Long_propu</f>
        <v>714</v>
      </c>
    </row>
    <row r="13" spans="1:20" ht="12.75" customHeight="1" x14ac:dyDescent="0.2">
      <c r="A13" s="25"/>
      <c r="B13" s="139" t="str">
        <f>IF(Lang="Français","Centre de Masse",IF(Lang="English","Center of Mass",""))</f>
        <v>Centre de Masse</v>
      </c>
      <c r="C13" s="35">
        <v>530</v>
      </c>
      <c r="D13" s="34" t="s">
        <v>423</v>
      </c>
      <c r="L13" s="108" t="str">
        <f>IF(Lang="Français","CdM propu",IF(Lang="English","Motor CoM",""))</f>
        <v>CdM propu</v>
      </c>
      <c r="M13" s="111">
        <f ca="1">XpropuPlein</f>
        <v>114</v>
      </c>
      <c r="N13" s="585">
        <f ca="1">XpropuVide</f>
        <v>114</v>
      </c>
      <c r="O13" s="586"/>
      <c r="P13" s="110" t="s">
        <v>14</v>
      </c>
      <c r="Q13" s="29"/>
      <c r="S13" s="386" t="str">
        <f>IF(Lang="Français","Longueur",IF(Lang="English","Length",""))</f>
        <v>Longueur</v>
      </c>
      <c r="T13" s="387">
        <f ca="1">Long_propu</f>
        <v>228</v>
      </c>
    </row>
    <row r="14" spans="1:20" ht="12.6" customHeight="1" x14ac:dyDescent="0.2">
      <c r="A14" s="25"/>
      <c r="B14" s="139" t="str">
        <f>IF(Lang="Français","Longueur totale",IF(Lang="English","Total length",""))</f>
        <v>Longueur totale</v>
      </c>
      <c r="C14" s="554">
        <v>992</v>
      </c>
      <c r="D14" s="555"/>
      <c r="L14" s="108" t="str">
        <f>IF(Lang="Français","Masse fusée",IF(Lang="English","Rocket Mass",""))</f>
        <v>Masse fusée</v>
      </c>
      <c r="M14" s="112">
        <f ca="1">MasseSans+MpropuPlein</f>
        <v>3.0548999999999999</v>
      </c>
      <c r="N14" s="567">
        <f ca="1">MasseSans+MpropuVide</f>
        <v>2.9792999999999998</v>
      </c>
      <c r="O14" s="568"/>
      <c r="P14" s="109">
        <f>IF(OR(D12="sans propu",D12="without motor"),C12/1000,IF(OR(D12="avec propu vide",D12="with empty motor"),C12/1000-MpropuVide,IF(OR(D12="avec propu plein",D12="with loaded motor"),C12/1000-MpropuPlein,"Erreur")))</f>
        <v>2.895</v>
      </c>
      <c r="Q14" s="29"/>
      <c r="S14" s="386" t="str">
        <f>IF(Lang="Français","Bas",IF(Lang="English","Base",""))</f>
        <v>Bas</v>
      </c>
      <c r="T14" s="387">
        <f>XpropuRef</f>
        <v>942</v>
      </c>
    </row>
    <row r="15" spans="1:20" ht="12.75" customHeight="1" x14ac:dyDescent="0.2">
      <c r="A15" s="25"/>
      <c r="B15" s="139" t="str">
        <f>IF(Lang="Français","Diamètre Réf.",IF(Lang="English","Ref. Diameter",""))</f>
        <v>Diamètre Réf.</v>
      </c>
      <c r="C15" s="554">
        <v>84</v>
      </c>
      <c r="D15" s="555"/>
      <c r="L15" s="175" t="str">
        <f>IF(Lang="Français","CdM fusée",IF(Lang="English","Rocket CoM",""))</f>
        <v>CdM fusée</v>
      </c>
      <c r="M15" s="176">
        <f ca="1">(XcgSans*MasseSans+(XpropuRef-Long_propu+XpropuPlein)*MpropuPlein)/MassePlein</f>
        <v>545.59795737994693</v>
      </c>
      <c r="N15" s="569">
        <f ca="1">(XcgSans*MasseSans+(XpropuRef-Long_propu+XpropuVide)*MpropuVide)/MasseVide</f>
        <v>538.43198066659954</v>
      </c>
      <c r="O15" s="570"/>
      <c r="P15" s="113">
        <f>IF(OR(D13="sans propu",D13="without motor"),C13,IF(OR(D13="avec propu vide",D13="with empty motor"),(C13*MasseVide-(XpropuRef-Long_propu+XpropuVide)*MpropuVide)/MasseSans,IF(OR(D13="avec propu plein",D13="with loaded motor"),(C13*MassePlein-(XpropuRef-Long_propu+XpropuPlein)*MpropuPlein)/MasseSans,"Erreur")))</f>
        <v>530</v>
      </c>
      <c r="Q15" s="29"/>
    </row>
    <row r="16" spans="1:20" ht="12.75" customHeight="1" thickBot="1" x14ac:dyDescent="0.25">
      <c r="A16" s="25"/>
      <c r="D16" s="31"/>
      <c r="L16" s="94"/>
      <c r="M16" s="94"/>
      <c r="N16" s="94"/>
      <c r="O16" s="94"/>
      <c r="P16" s="94"/>
      <c r="Q16" s="29"/>
      <c r="S16" s="385"/>
      <c r="T16" s="386" t="str">
        <f>IF(RIGHT(Type_masquage,1)=",",IF(Lang="Français","Ailerons","Fins"),IF(Lang="Français","Ailerons bas","Lower Fins"))</f>
        <v>Ailerons bas</v>
      </c>
    </row>
    <row r="17" spans="1:22" ht="12.75" customHeight="1" thickTop="1" thickBot="1" x14ac:dyDescent="0.25">
      <c r="A17" s="25"/>
      <c r="C17" s="542" t="str">
        <f>IF(Lang="Français","Propulseur",IF(Lang="English","Motor",""))</f>
        <v>Propulseur</v>
      </c>
      <c r="D17" s="543"/>
      <c r="L17" s="114"/>
      <c r="M17" s="571" t="s">
        <v>55</v>
      </c>
      <c r="N17" s="572"/>
      <c r="O17" s="595" t="s">
        <v>65</v>
      </c>
      <c r="P17" s="595"/>
      <c r="Q17" s="29"/>
      <c r="S17" s="386" t="str">
        <f>IF(Lang="Français","Haut","Top")</f>
        <v>Haut</v>
      </c>
      <c r="T17" s="387">
        <f>X_ail-m_ail</f>
        <v>772</v>
      </c>
    </row>
    <row r="18" spans="1:22" ht="12.75" customHeight="1" thickTop="1" x14ac:dyDescent="0.2">
      <c r="A18" s="25"/>
      <c r="B18" s="139" t="s">
        <v>54</v>
      </c>
      <c r="C18" s="544" t="s">
        <v>548</v>
      </c>
      <c r="D18" s="545"/>
      <c r="K18" s="37"/>
      <c r="L18" s="108" t="str">
        <f>IF(Lang="Français","Coiffe",IF(Lang="English","Nose Cone",""))</f>
        <v>Coiffe</v>
      </c>
      <c r="M18" s="547">
        <f>IF(LEFT(Forme_ogive,5)="Parab",1/2*Long_ogive,IF(LEFT(Forme_ogive,4)="Ogiv",7/15*Long_ogive,IF(LEFT(Forme_ogive,3)="Con",2/3*Long_ogive)))</f>
        <v>168</v>
      </c>
      <c r="N18" s="548"/>
      <c r="O18" s="546">
        <f>2*POWER(D_og/D_ref, 2)</f>
        <v>2</v>
      </c>
      <c r="P18" s="546"/>
      <c r="Q18" s="29"/>
      <c r="S18" s="386" t="str">
        <f>IF(Lang="Français","Emplanture","Root edge")</f>
        <v>Emplanture</v>
      </c>
      <c r="T18" s="387">
        <f>m_ail</f>
        <v>170</v>
      </c>
    </row>
    <row r="19" spans="1:22" ht="12.75" customHeight="1" x14ac:dyDescent="0.2">
      <c r="A19" s="25"/>
      <c r="B19" s="139" t="str">
        <f>IF(Lang="Français","Position du bas",IF(Lang="English","Basement",""))</f>
        <v>Position du bas</v>
      </c>
      <c r="C19" s="575">
        <v>942</v>
      </c>
      <c r="D19" s="575"/>
      <c r="L19" s="108" t="str">
        <f>IF(Lang="Français","Ailerons",IF(Lang="English","Fins",""))</f>
        <v>Ailerons</v>
      </c>
      <c r="M19" s="547">
        <f>(XCpa*Cnail-0.5*XCpi*Cni)/Cnai</f>
        <v>857.4</v>
      </c>
      <c r="N19" s="548"/>
      <c r="O19" s="549">
        <f>Cnail-Cni/2</f>
        <v>13.602161052846441</v>
      </c>
      <c r="P19" s="550"/>
      <c r="Q19" s="29"/>
      <c r="S19" s="386" t="str">
        <f>IF(Lang="Français","Bas","Base")</f>
        <v>Bas</v>
      </c>
      <c r="T19" s="387">
        <f>X_ail</f>
        <v>942</v>
      </c>
    </row>
    <row r="20" spans="1:22" ht="12.75" customHeight="1" thickBot="1" x14ac:dyDescent="0.25">
      <c r="A20" s="25"/>
      <c r="B20" s="428" t="str">
        <f>IF(Propu="Cariacou","Cariacou :"," ")</f>
        <v xml:space="preserve"> </v>
      </c>
      <c r="C20" s="576" t="str">
        <f>IF(Propu="Pandora (Pro24-6G)",IF(Lang="Français","C'Space Seulement",IF(Lang="English","C'Space only","")),"")</f>
        <v/>
      </c>
      <c r="D20" s="576"/>
      <c r="L20" s="108" t="str">
        <f>IF(Lang="Français","Ail bas entier",IF(Lang="English","Total Lower Fins",""))</f>
        <v>Ail bas entier</v>
      </c>
      <c r="M20" s="547">
        <f>X_ail-m_ail+p_ail*(m_ail+2*n_ail)/(3*(m_ail+n_ail))+(m_ail+n_ail-m_ail*n_ail/(m_ail+n_ail))/6</f>
        <v>857.4</v>
      </c>
      <c r="N20" s="548"/>
      <c r="O20" s="546">
        <f>4*Q_ail*POWER((E_ail/D_ref),2)*(1+D_ail/(2*E_ail+D_ail))/(1+SQRT(1+POWER(2*f_ail/(m_ail+n_ail),2)))</f>
        <v>13.602161052846441</v>
      </c>
      <c r="P20" s="546"/>
      <c r="Q20" s="29"/>
    </row>
    <row r="21" spans="1:22" ht="12.75" customHeight="1" thickTop="1" thickBot="1" x14ac:dyDescent="0.25">
      <c r="A21" s="25"/>
      <c r="B21" s="30"/>
      <c r="C21" s="551" t="str">
        <f>IF(Lang="Français","Coiffe",IF(Lang="English","Nose Cone",""))</f>
        <v>Coiffe</v>
      </c>
      <c r="D21" s="552"/>
      <c r="L21" s="108" t="str">
        <f>IF(Lang="Français","Ailerons haut",IF(Lang="English","Upper Fins",""))</f>
        <v>Ailerons haut</v>
      </c>
      <c r="M21" s="547">
        <f>IF(LEFT(Type_masquage,1)="M",0, X_can-m_can+p_can*(m_can+2*n_can)/(3*(m_can+n_can))+(m_can+n_can-m_can*n_can/(m_can+n_can))/6)</f>
        <v>0</v>
      </c>
      <c r="N21" s="548"/>
      <c r="O21" s="546">
        <f>IF(LEFT(Type_masquage,1)="M",0, 4*Q_can*POWER((E_can/D_ref),2)*(1+D_can/(2*E_can+D_can))/(1+SQRT(1+POWER(2*f_can/(m_can+n_can),2))))</f>
        <v>0</v>
      </c>
      <c r="P21" s="546"/>
      <c r="Q21" s="29"/>
    </row>
    <row r="22" spans="1:22" ht="12.75" customHeight="1" thickTop="1" x14ac:dyDescent="0.2">
      <c r="A22" s="25"/>
      <c r="B22" s="139" t="str">
        <f>IF(Lang="Français","Forme",IF(Lang="English","Shape",""))</f>
        <v>Forme</v>
      </c>
      <c r="C22" s="577" t="s">
        <v>569</v>
      </c>
      <c r="D22" s="578"/>
      <c r="L22" s="108" t="str">
        <f>IF(Lang="Français","Partie masquée",IF(Lang="English","Interation zone",""))</f>
        <v>Partie masquée</v>
      </c>
      <c r="M22" s="560">
        <f>IF(LEFT(Type_masquage,1)="B", X_int-m_int+p_int*(m_int+2*n_int)/(3*(m_int+n_int))+(m_int+n_int-m_int*n_int/(m_int+n_int))/6, 0 )</f>
        <v>0</v>
      </c>
      <c r="N22" s="560"/>
      <c r="O22" s="549">
        <f>IF(LEFT(Type_masquage,1)="B", 4*Q_int*POWER((E_int/D_ref),2)*(1+D_int/(2*E_int+D_int))/(1+SQRT(1+POWER(2*f_int/(m_int+n_int),2))), 0 )</f>
        <v>0</v>
      </c>
      <c r="P22" s="550"/>
      <c r="Q22" s="29"/>
    </row>
    <row r="23" spans="1:22" ht="12.75" customHeight="1" x14ac:dyDescent="0.2">
      <c r="A23" s="25"/>
      <c r="B23" s="139" t="str">
        <f>IF(Lang="Français","Hauteur",IF(Lang="English","Heigth",""))</f>
        <v>Hauteur</v>
      </c>
      <c r="C23" s="554">
        <v>252</v>
      </c>
      <c r="D23" s="555"/>
      <c r="L23" s="108" t="s">
        <v>156</v>
      </c>
      <c r="M23" s="547">
        <f>IF(OR(RIGHT(Nb_diam,1)=",",D2j=0),0, X_j+l_j/3*(1+1/(1+D1j/D2j)) )</f>
        <v>0</v>
      </c>
      <c r="N23" s="548"/>
      <c r="O23" s="546">
        <f>IF(OR(RIGHT(Nb_diam,1)=",",D2j=0),0,2*(POWER(D2j/D_ref,2)-POWER(D1j/D_ref,2)))</f>
        <v>0</v>
      </c>
      <c r="P23" s="546"/>
      <c r="Q23" s="29"/>
    </row>
    <row r="24" spans="1:22" ht="12.75" customHeight="1" thickBot="1" x14ac:dyDescent="0.25">
      <c r="A24" s="25"/>
      <c r="B24" s="139" t="str">
        <f>IF(Lang="Français","Diamètre",IF(Lang="English","Diameter",""))</f>
        <v>Diamètre</v>
      </c>
      <c r="C24" s="554">
        <v>84</v>
      </c>
      <c r="D24" s="555"/>
      <c r="L24" s="108" t="s">
        <v>157</v>
      </c>
      <c r="M24" s="547">
        <f>IF( OR(RIGHT(Nb_diam,1)=",",D2r=0), 0, X_r+l_r/3*(1+1/(1+D1r/D2r)) )</f>
        <v>0</v>
      </c>
      <c r="N24" s="548"/>
      <c r="O24" s="546">
        <f>IF( OR(RIGHT(Nb_diam,1)=",",D2r=0), 0, 2*(POWER(D2r/D_ref,2)-POWER(D1r/D_ref,2)) )</f>
        <v>0</v>
      </c>
      <c r="P24" s="546"/>
      <c r="Q24" s="29"/>
    </row>
    <row r="25" spans="1:22" ht="12.75" customHeight="1" thickBot="1" x14ac:dyDescent="0.25">
      <c r="A25" s="25"/>
      <c r="E25" s="180" t="s">
        <v>151</v>
      </c>
      <c r="L25" s="38"/>
      <c r="M25" s="38"/>
      <c r="N25" s="38"/>
      <c r="Q25" s="29"/>
      <c r="R25" s="38"/>
      <c r="S25" s="388" t="str">
        <f ca="1">IF(AND(Portee_balistique&gt;200,LEFT(Type_propu,3)="Min"),IF(Lang="Français","Fusée trop lègère !","Rocket too light"),"")</f>
        <v>Fusée trop lègère !</v>
      </c>
    </row>
    <row r="26" spans="1:22" ht="12.75" customHeight="1" thickTop="1" thickBot="1" x14ac:dyDescent="0.25">
      <c r="A26" s="25"/>
      <c r="B26" s="30"/>
      <c r="C26" s="178" t="str">
        <f>IF(LEFT(Type_masquage,1)="M",IF(Lang="Français","Ailerons","Fins"),IF(Lang="Français","Ailerons bas","Lower Fins"))</f>
        <v>Ailerons</v>
      </c>
      <c r="D26" s="179" t="str">
        <f>IF(Lang="Français","Ailerons haut",IF(Lang="English","Upper Fins",""))</f>
        <v>Ailerons haut</v>
      </c>
      <c r="F26" s="39">
        <f ca="1">TODAY()</f>
        <v>45957</v>
      </c>
      <c r="G26" s="137" t="s">
        <v>62</v>
      </c>
      <c r="H26" s="541" t="str">
        <f>IF(Lang="Français","Résultats",IF(Lang="English","Results",""))</f>
        <v>Résultats</v>
      </c>
      <c r="I26" s="541"/>
      <c r="J26" s="137" t="s">
        <v>63</v>
      </c>
      <c r="K26" s="32"/>
      <c r="L26" s="38"/>
      <c r="M26" s="38"/>
      <c r="N26" s="38"/>
      <c r="Q26" s="29"/>
      <c r="R26" s="38"/>
      <c r="S26" s="388" t="e">
        <f ca="1">IF(AND(Vsortie_de_rampe&lt;18, OR(LEFT(Type_fusee,1)=",",LEFT(Type_fusee,4)="Mini",LEFT(Type_fusee,1)="R")),IF(Lang="Français","Fusée trop lourde ou rampe trop courte !","Rocket too heavy or launch pad too small!"),"")</f>
        <v>#N/A</v>
      </c>
    </row>
    <row r="27" spans="1:22" ht="12.75" customHeight="1" thickTop="1" x14ac:dyDescent="0.2">
      <c r="A27" s="25"/>
      <c r="B27" s="30"/>
      <c r="C27" s="573" t="s">
        <v>424</v>
      </c>
      <c r="D27" s="574"/>
      <c r="E27" s="146">
        <f>m_ail</f>
        <v>170</v>
      </c>
      <c r="F27" s="105" t="s">
        <v>64</v>
      </c>
      <c r="G27" s="104">
        <f>IF(RIGHT(Type_fusee,1)=".",10, IF(OR(LEFT(Type_fusee,1)="R",LEFT(Type_fusee,1)=",",LEFT(Type_fusee,4)="Mini"),10, IF(LEFT(Type_fusee,5)="Micro",10, IF(RIGHT(Type_fusee,1)=" ",1))))</f>
        <v>10</v>
      </c>
      <c r="H27" s="589">
        <f>Long_tot/D_ref</f>
        <v>11.80952380952381</v>
      </c>
      <c r="I27" s="590"/>
      <c r="J27" s="104">
        <f>IF(RIGHT(Type_fusee,1)=".",35, IF(OR(LEFT(Type_fusee,1)="R",LEFT(Type_fusee,1)=",",LEFT(Type_fusee,4)="Mini"),20, IF(LEFT(Type_fusee,5)="Micro",30, IF(RIGHT(Type_fusee,1)=" ",100))))</f>
        <v>20</v>
      </c>
      <c r="K27" s="32"/>
      <c r="L27" s="38"/>
      <c r="M27" s="38"/>
      <c r="N27" s="38"/>
      <c r="Q27" s="29"/>
      <c r="R27" s="38"/>
      <c r="S27" s="388" t="str">
        <f>IF(Finesse&lt;CritFinessemin, IF(Lang="Français","Fusée trop courte !","Rocket too short!"), "" ) &amp; IF(Finesse&gt;CritFinessemax, IF(Lang="Français","Fusée trop longue !","Rocket too long!"), "" )</f>
        <v/>
      </c>
    </row>
    <row r="28" spans="1:22" ht="12.75" customHeight="1" x14ac:dyDescent="0.2">
      <c r="A28" s="25"/>
      <c r="B28" s="524" t="str">
        <f>IF(Lang="Français"," Emplanture  'm'",IF(Lang="English"," Root edge  'm'",""))</f>
        <v xml:space="preserve"> Emplanture  'm'</v>
      </c>
      <c r="C28" s="177">
        <v>170</v>
      </c>
      <c r="D28" s="177">
        <v>180</v>
      </c>
      <c r="E28" s="146">
        <f>n_ail+(m_ail-n_ail)*(1-E_int/E_ail)</f>
        <v>80</v>
      </c>
      <c r="F28" s="105" t="str">
        <f>IF(Lang="Français","Portance","Lift")</f>
        <v>Portance</v>
      </c>
      <c r="G28" s="104">
        <f>IF(RIGHT(Type_fusee,1)=".",15,IF(OR(LEFT(Type_fusee,1)="R",LEFT(Type_fusee,1)=",",LEFT(Type_fusee,4)="Mini"),15, IF(LEFT(Type_fusee,5)="Micro",15, IF(RIGHT(Type_fusee,1)=" ",15))))</f>
        <v>15</v>
      </c>
      <c r="H28" s="508">
        <f>Cnai+Cnc+Cno+Cnj+Cnr</f>
        <v>15.602161052846441</v>
      </c>
      <c r="I28" s="508">
        <f>Cnail+Cnc+Cno+Cnj+Cnr</f>
        <v>15.602161052846441</v>
      </c>
      <c r="J28" s="104">
        <f>IF(RIGHT(Type_fusee,1)=".",40, IF(OR(LEFT(Type_fusee,1)="R",LEFT(Type_fusee,1)=",",LEFT(Type_fusee,4)="Mini"),30, IF(LEFT(Type_fusee,5)="Micro",30, IF(RIGHT(Type_fusee,1)=" ",30))))</f>
        <v>30</v>
      </c>
      <c r="K28" s="32"/>
      <c r="L28" s="38"/>
      <c r="M28" s="38"/>
      <c r="N28" s="38"/>
      <c r="Q28" s="29"/>
      <c r="R28" s="38"/>
      <c r="S28" s="388" t="str">
        <f>IF(Cn&lt;CritCnmin, IF(Lang="Français","Ailerons trop petits !","Fins too small!"), "" ) &amp; IF(Cn&gt;CritCnmax, IF(Lang="Français","Ailerons trop grands !","Fins too big!"), "" )</f>
        <v/>
      </c>
    </row>
    <row r="29" spans="1:22" ht="12.75" customHeight="1" x14ac:dyDescent="0.2">
      <c r="A29" s="25"/>
      <c r="B29" s="524" t="str">
        <f>IF(Lang="Français"," Saumon       'n'",IF(Lang="English"," Tip edge    'n'",""))</f>
        <v xml:space="preserve"> Saumon       'n'</v>
      </c>
      <c r="C29" s="35">
        <v>80</v>
      </c>
      <c r="D29" s="35">
        <v>80</v>
      </c>
      <c r="E29" s="146">
        <f>p_ail*E_int/E_ail</f>
        <v>120</v>
      </c>
      <c r="F29" s="515" t="str">
        <f>IF(Lang="Français","MargeStat.","StatMargin")</f>
        <v>MargeStat.</v>
      </c>
      <c r="G29" s="510">
        <f>IF(RIGHT(Type_fusee,1)=".",2, IF(OR(LEFT(Type_fusee,1)="R",LEFT(Type_fusee,1)=",",LEFT(Type_fusee,4)="Mini"),1.5, IF(LEFT(Type_fusee,5)="Micro",1, IF(RIGHT(Type_fusee,1)=" ",1))))</f>
        <v>1.5</v>
      </c>
      <c r="H29" s="97">
        <f ca="1">(XCp-XcgPlein)/D_ref</f>
        <v>2.6598770163626191</v>
      </c>
      <c r="I29" s="98">
        <f ca="1">(XCp0-XcgVide)/D_ref</f>
        <v>2.7451862629500878</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
      </c>
      <c r="U29" s="24" t="s">
        <v>572</v>
      </c>
    </row>
    <row r="30" spans="1:22" ht="12.75" customHeight="1" x14ac:dyDescent="0.2">
      <c r="A30" s="25"/>
      <c r="B30" s="524" t="str">
        <f>IF(Lang="Français"," Flèche          'p'"," Offset         'p'")</f>
        <v xml:space="preserve"> Flèche          'p'</v>
      </c>
      <c r="C30" s="35">
        <v>120</v>
      </c>
      <c r="D30" s="35">
        <v>160</v>
      </c>
      <c r="E30" s="146">
        <f>IF(D_can/2+E_can&lt;=D_ail/2,0, IF(D_can/2+E_can&gt;=D_ail/2+E_ail,E_ail,  D_can/2+E_can - D_ail/2  ) )</f>
        <v>107</v>
      </c>
      <c r="F30" s="516" t="str">
        <f>IF(Lang="Français","Couple","Torque")</f>
        <v>Couple</v>
      </c>
      <c r="G30" s="511">
        <f>IF(RIGHT(Type_fusee,1)=".",40, IF(OR(LEFT(Type_fusee,1)="R",LEFT(Type_fusee,1)=",",LEFT(Type_fusee,4)="Mini"),30, IF(LEFT(Type_fusee,5)="Micro",15, IF(RIGHT(Type_fusee,1)=" ",15))))</f>
        <v>30</v>
      </c>
      <c r="H30" s="99">
        <f ca="1">MS_min*Cn</f>
        <v>41.499829590054247</v>
      </c>
      <c r="I30" s="96">
        <f ca="1">MS_max*Cn0</f>
        <v>42.83083819460893</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
      </c>
      <c r="U30" s="24" t="s">
        <v>573</v>
      </c>
      <c r="V30" s="24" t="s">
        <v>574</v>
      </c>
    </row>
    <row r="31" spans="1:22" ht="12.75" customHeight="1" x14ac:dyDescent="0.2">
      <c r="A31" s="25"/>
      <c r="B31" s="524" t="str">
        <f>IF(Lang="Français"," Envergure     'E'",IF(Lang="English"," Span          'E'",""))</f>
        <v xml:space="preserve"> Envergure     'E'</v>
      </c>
      <c r="C31" s="35">
        <v>107</v>
      </c>
      <c r="D31" s="35">
        <v>110</v>
      </c>
      <c r="E31" s="146">
        <f>ep_ail</f>
        <v>3</v>
      </c>
      <c r="F31" s="106" t="s">
        <v>55</v>
      </c>
      <c r="G31" s="103"/>
      <c r="H31" s="509">
        <f>(Cnai*XCpai+Cnc*XCpc+Cnj*XCpj+Cnr*XCpr+Cno*XCpo)/(Cnai+Cnc+Cnr+Cnj+Cno)</f>
        <v>769.02762675440692</v>
      </c>
      <c r="I31" s="509">
        <f>(Cnail*XCpa+Cnc*XCpc+Cnj*XCpj+Cnr*XCpr+Cno*XCpo)/(Cnail+Cnc+Cnr+Cnj+Cno)</f>
        <v>769.02762675440692</v>
      </c>
      <c r="J31" s="102"/>
      <c r="K31" s="32"/>
      <c r="Q31" s="29"/>
      <c r="R31" s="38"/>
      <c r="S31" s="388"/>
      <c r="U31" s="24">
        <v>2.58</v>
      </c>
      <c r="V31" s="24">
        <v>15.795999999999999</v>
      </c>
    </row>
    <row r="32" spans="1:22" ht="12.75" customHeight="1" x14ac:dyDescent="0.2">
      <c r="A32" s="25"/>
      <c r="B32" s="525" t="str">
        <f>IF(Lang="Français"," Epaisseur     'ep'",IF(Lang="English"," Thickness  'ep'",""))</f>
        <v xml:space="preserve"> Epaisseur     'ep'</v>
      </c>
      <c r="C32" s="35">
        <v>3</v>
      </c>
      <c r="D32" s="35">
        <v>4</v>
      </c>
      <c r="E32" s="146">
        <f>IF(Q_ail=Q_can,Q_ail,FALSE)</f>
        <v>4</v>
      </c>
      <c r="F32" s="106" t="s">
        <v>66</v>
      </c>
      <c r="G32" s="103"/>
      <c r="H32" s="100">
        <f ca="1">(XCp-XcgPlein)/Long_tot*100</f>
        <v>22.523152154683469</v>
      </c>
      <c r="I32" s="101">
        <f ca="1">(XCp-XcgVide)/Long_tot*100</f>
        <v>23.245528839496714</v>
      </c>
      <c r="J32" s="102"/>
      <c r="K32" s="32"/>
      <c r="Q32" s="29"/>
      <c r="R32" s="38"/>
      <c r="U32" s="24">
        <v>2.66</v>
      </c>
      <c r="V32" s="24">
        <v>15.795999999999999</v>
      </c>
    </row>
    <row r="33" spans="1:23" ht="12.75" customHeight="1" x14ac:dyDescent="0.2">
      <c r="A33" s="25"/>
      <c r="B33" s="524" t="str">
        <f>IF(Lang="Français"," Nombre            ",IF(Lang="English"," Number of fins",""))</f>
        <v xml:space="preserve"> Nombre            </v>
      </c>
      <c r="C33" s="36">
        <v>4</v>
      </c>
      <c r="D33" s="36">
        <v>4</v>
      </c>
      <c r="E33" s="146">
        <f>X_ail</f>
        <v>942</v>
      </c>
      <c r="G33" s="24"/>
      <c r="H33" s="579" t="str">
        <f ca="1">IF(AND(CritCnmin&lt;Cn,Cn0&lt;CritCnmax,CritMsmin&lt;MS_min,MS_max&lt;CritMsmax,CritMsCnmin&lt;MS_Cn_min,MS_Cn_max&lt;CritMsCnmax),"STABLE",IF(OR(Cn&lt;CritCnmin,MS_min&lt;CritMsmin,MS_Cn_min&lt;CritMsCnmin),"INSTABLE",IF(Lang="Français","SURSTABLE","OVERSTABLE")))</f>
        <v>STABLE</v>
      </c>
      <c r="I33" s="580"/>
      <c r="J33" s="31"/>
      <c r="K33" s="32"/>
      <c r="Q33" s="29"/>
      <c r="R33" s="38"/>
    </row>
    <row r="34" spans="1:23" ht="12.75" customHeight="1" x14ac:dyDescent="0.2">
      <c r="A34" s="25"/>
      <c r="B34" s="524" t="str">
        <f>IF(Lang="Français"," Position du bas",IF(Lang="English"," Basement",""))</f>
        <v xml:space="preserve"> Position du bas</v>
      </c>
      <c r="C34" s="35">
        <v>942</v>
      </c>
      <c r="D34" s="35">
        <v>1250</v>
      </c>
      <c r="E34" s="146">
        <f>D_ail</f>
        <v>84</v>
      </c>
      <c r="G34" s="24"/>
      <c r="H34" s="581"/>
      <c r="I34" s="582"/>
      <c r="K34" s="32"/>
      <c r="Q34" s="29"/>
      <c r="R34" s="38"/>
    </row>
    <row r="35" spans="1:23" ht="12.75" customHeight="1" x14ac:dyDescent="0.2">
      <c r="A35" s="25"/>
      <c r="B35" s="524" t="str">
        <f>IF(Lang="Français"," Diamètre         ",IF(Lang="English"," Diameter at Fins",""))</f>
        <v xml:space="preserve"> Diamètre         </v>
      </c>
      <c r="C35" s="35">
        <v>84</v>
      </c>
      <c r="D35" s="35">
        <f>D_ref</f>
        <v>84</v>
      </c>
      <c r="E35" s="146">
        <f>SQRT(POWER(p_int+n_int/2-m_int/2,2)+POWER(E_int,2))</f>
        <v>130.66751700403586</v>
      </c>
      <c r="K35" s="32"/>
      <c r="Q35" s="29"/>
      <c r="R35" s="38"/>
      <c r="W35" s="24" t="str">
        <f>RIGHT(Type_fusee,1="R")</f>
        <v/>
      </c>
    </row>
    <row r="36" spans="1:23" ht="12.75" customHeight="1" x14ac:dyDescent="0.2">
      <c r="A36" s="25"/>
      <c r="B36" s="524" t="str">
        <f>IF(Lang="Français"," Ligne mi-corde f",IF(Lang="English"," Mid-chord line f",""))</f>
        <v xml:space="preserve"> Ligne mi-corde f</v>
      </c>
      <c r="C36" s="145">
        <f>SQRT(POWER(p_ail+n_ail/2-m_ail/2,2)+POWER(E_ail,2))</f>
        <v>130.66751700403586</v>
      </c>
      <c r="D36" s="145">
        <f>SQRT(POWER(p_can+n_can/2-m_can/2,2)+POWER(E_can,2))</f>
        <v>155.56349186104046</v>
      </c>
      <c r="E36" s="536"/>
      <c r="K36" s="32"/>
      <c r="Q36" s="29"/>
      <c r="R36" s="38"/>
    </row>
    <row r="37" spans="1:23" ht="12.75" customHeight="1" thickBot="1" x14ac:dyDescent="0.25">
      <c r="A37" s="40"/>
      <c r="B37" s="182" t="str">
        <f>IF(Lang="Français","Commentaire libre :",IF(Lang="English","Free comment:",""))</f>
        <v>Commentaire libre :</v>
      </c>
      <c r="C37" s="41"/>
      <c r="D37" s="42"/>
      <c r="E37" s="91"/>
      <c r="F37" s="67"/>
      <c r="G37" s="67"/>
      <c r="H37" s="67"/>
      <c r="I37" s="67"/>
      <c r="J37" s="42"/>
      <c r="K37" s="42"/>
      <c r="L37" s="389" t="s">
        <v>270</v>
      </c>
      <c r="M37" s="392" t="str">
        <f>IF(ROUND(SUM(Propu!5:1228),0)=437735,"propu OK","propu NOK")</f>
        <v>propu OK</v>
      </c>
      <c r="N37" s="391" t="str">
        <f>IF(Lang="Français","fichier initial","Initial file")</f>
        <v>fichier initial</v>
      </c>
      <c r="O37" s="392"/>
      <c r="P37" s="390"/>
      <c r="Q37" s="291" t="s">
        <v>567</v>
      </c>
      <c r="R37" s="43"/>
    </row>
    <row r="39" spans="1:23" x14ac:dyDescent="0.2">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2">
      <c r="H40" s="87"/>
      <c r="O40" s="26"/>
      <c r="P40" s="26"/>
      <c r="S40" s="506"/>
    </row>
    <row r="41" spans="1:23" x14ac:dyDescent="0.2">
      <c r="F41" s="24"/>
      <c r="H41" s="43"/>
      <c r="I41" s="44"/>
      <c r="J41" s="43"/>
      <c r="N41" s="43"/>
      <c r="Q41" s="43"/>
      <c r="R41" s="43"/>
    </row>
    <row r="42" spans="1:23" x14ac:dyDescent="0.2">
      <c r="F42" s="24"/>
      <c r="G42" s="503"/>
      <c r="H42" s="504"/>
      <c r="I42" s="44"/>
      <c r="J42" s="43"/>
      <c r="N42" s="43"/>
      <c r="Q42" s="43"/>
      <c r="R42" s="43"/>
    </row>
    <row r="43" spans="1:23" x14ac:dyDescent="0.2">
      <c r="F43" s="24"/>
      <c r="H43" s="43"/>
      <c r="I43" s="44"/>
      <c r="J43" s="43"/>
      <c r="N43" s="43"/>
      <c r="Q43" s="43"/>
      <c r="R43" s="43"/>
    </row>
    <row r="44" spans="1:23" x14ac:dyDescent="0.2">
      <c r="F44" s="24"/>
      <c r="H44" s="43"/>
      <c r="I44" s="44"/>
      <c r="J44" s="43"/>
      <c r="N44" s="43"/>
      <c r="Q44" s="43"/>
      <c r="R44" s="43"/>
    </row>
    <row r="45" spans="1:23" x14ac:dyDescent="0.2">
      <c r="F45" s="24"/>
      <c r="H45" s="43"/>
      <c r="I45" s="44"/>
      <c r="J45" s="43"/>
      <c r="N45" s="43"/>
      <c r="Q45" s="43"/>
      <c r="R45" s="43"/>
    </row>
    <row r="46" spans="1:23" x14ac:dyDescent="0.2">
      <c r="F46" s="24"/>
      <c r="H46" s="43"/>
      <c r="I46" s="44"/>
      <c r="J46" s="43"/>
      <c r="N46" s="43"/>
      <c r="Q46" s="43"/>
      <c r="R46" s="43"/>
    </row>
    <row r="47" spans="1:23" x14ac:dyDescent="0.2">
      <c r="F47" s="24"/>
      <c r="H47" s="43"/>
      <c r="I47" s="44"/>
      <c r="J47" s="43"/>
      <c r="L47" s="43"/>
      <c r="M47" s="43"/>
      <c r="N47" s="43"/>
      <c r="Q47" s="43"/>
      <c r="R47" s="43"/>
    </row>
    <row r="48" spans="1:23" x14ac:dyDescent="0.2">
      <c r="F48" s="24"/>
      <c r="H48" s="43"/>
      <c r="I48" s="44"/>
      <c r="J48" s="43"/>
      <c r="L48" s="43"/>
      <c r="M48" s="43"/>
      <c r="N48" s="43"/>
      <c r="Q48" s="43"/>
      <c r="R48" s="43"/>
    </row>
    <row r="49" spans="2:18" x14ac:dyDescent="0.2">
      <c r="F49" s="24"/>
      <c r="H49" s="43"/>
      <c r="I49" s="44"/>
      <c r="J49" s="43"/>
      <c r="L49" s="43"/>
      <c r="M49" s="43"/>
      <c r="N49" s="43"/>
      <c r="Q49" s="43"/>
      <c r="R49" s="43"/>
    </row>
    <row r="50" spans="2:18" x14ac:dyDescent="0.2">
      <c r="F50" s="24"/>
      <c r="H50" s="43"/>
      <c r="I50" s="44"/>
      <c r="J50" s="43"/>
      <c r="L50" s="43"/>
      <c r="M50" s="43"/>
      <c r="N50" s="43"/>
      <c r="Q50" s="43"/>
      <c r="R50" s="43"/>
    </row>
    <row r="51" spans="2:18" x14ac:dyDescent="0.2">
      <c r="F51" s="24"/>
      <c r="H51" s="43"/>
      <c r="I51" s="44"/>
      <c r="J51" s="43"/>
      <c r="L51" s="43"/>
      <c r="M51" s="43"/>
      <c r="N51" s="43"/>
      <c r="Q51" s="43"/>
      <c r="R51" s="43"/>
    </row>
    <row r="52" spans="2:18" x14ac:dyDescent="0.2">
      <c r="F52" s="24"/>
      <c r="H52" s="43"/>
      <c r="I52" s="44"/>
      <c r="J52" s="43"/>
      <c r="L52" s="43"/>
      <c r="M52" s="43"/>
      <c r="N52" s="43"/>
      <c r="Q52" s="43"/>
      <c r="R52" s="43"/>
    </row>
    <row r="53" spans="2:18" x14ac:dyDescent="0.2">
      <c r="H53" s="43"/>
      <c r="I53" s="44"/>
      <c r="J53" s="43"/>
      <c r="L53" s="43"/>
      <c r="M53" s="43"/>
      <c r="N53" s="43"/>
      <c r="Q53" s="43"/>
      <c r="R53" s="43"/>
    </row>
    <row r="54" spans="2:18" x14ac:dyDescent="0.2">
      <c r="H54" s="43"/>
      <c r="I54" s="44"/>
      <c r="J54" s="43"/>
      <c r="L54" s="43"/>
      <c r="M54" s="43"/>
      <c r="N54" s="43"/>
      <c r="Q54" s="43"/>
      <c r="R54" s="43"/>
    </row>
    <row r="55" spans="2:18" x14ac:dyDescent="0.2">
      <c r="H55" s="43"/>
      <c r="I55" s="44"/>
      <c r="J55" s="43"/>
      <c r="L55" s="43"/>
      <c r="M55" s="43"/>
      <c r="N55" s="43"/>
      <c r="Q55" s="43"/>
      <c r="R55" s="43"/>
    </row>
    <row r="56" spans="2:18" x14ac:dyDescent="0.2">
      <c r="H56" s="43"/>
      <c r="I56" s="44"/>
      <c r="J56" s="43"/>
      <c r="L56" s="43"/>
      <c r="M56" s="43"/>
      <c r="N56" s="43"/>
      <c r="Q56" s="43"/>
      <c r="R56" s="43"/>
    </row>
    <row r="57" spans="2:18" x14ac:dyDescent="0.2">
      <c r="C57" s="24"/>
      <c r="H57" s="43"/>
      <c r="I57" s="44"/>
      <c r="J57" s="43"/>
      <c r="L57" s="43"/>
      <c r="M57" s="43"/>
      <c r="N57" s="43"/>
      <c r="Q57" s="43"/>
      <c r="R57" s="43"/>
    </row>
    <row r="58" spans="2:18" x14ac:dyDescent="0.2">
      <c r="H58" s="43"/>
      <c r="I58" s="44"/>
      <c r="J58" s="43"/>
      <c r="L58" s="43"/>
      <c r="M58" s="43"/>
      <c r="N58" s="43"/>
      <c r="Q58" s="43"/>
      <c r="R58" s="43"/>
    </row>
    <row r="59" spans="2:18" x14ac:dyDescent="0.2">
      <c r="B59" s="31"/>
      <c r="H59" s="43"/>
      <c r="I59" s="44"/>
      <c r="J59" s="43"/>
      <c r="L59" s="43"/>
      <c r="M59" s="43"/>
      <c r="N59" s="43"/>
      <c r="Q59" s="43"/>
      <c r="R59" s="43"/>
    </row>
    <row r="60" spans="2:18" x14ac:dyDescent="0.2">
      <c r="B60" s="31"/>
      <c r="H60" s="43"/>
      <c r="I60" s="44"/>
      <c r="J60" s="43"/>
      <c r="L60" s="43"/>
      <c r="M60" s="43"/>
      <c r="N60" s="43"/>
      <c r="Q60" s="43"/>
      <c r="R60" s="43"/>
    </row>
    <row r="61" spans="2:18" x14ac:dyDescent="0.2">
      <c r="B61" s="31"/>
      <c r="H61" s="43"/>
      <c r="I61" s="44"/>
      <c r="J61" s="43"/>
      <c r="L61" s="43"/>
      <c r="M61" s="43"/>
      <c r="N61" s="43"/>
      <c r="Q61" s="43"/>
      <c r="R61" s="43"/>
    </row>
    <row r="62" spans="2:18" x14ac:dyDescent="0.2">
      <c r="B62" s="31"/>
      <c r="H62" s="43"/>
      <c r="I62" s="44"/>
      <c r="J62" s="43"/>
      <c r="L62" s="43"/>
      <c r="M62" s="43"/>
      <c r="N62" s="43"/>
      <c r="Q62" s="43"/>
      <c r="R62" s="43"/>
    </row>
    <row r="63" spans="2:18" x14ac:dyDescent="0.2">
      <c r="B63" s="31"/>
      <c r="H63" s="43"/>
      <c r="I63" s="44"/>
      <c r="J63" s="43"/>
      <c r="L63" s="43"/>
      <c r="M63" s="43"/>
      <c r="N63" s="43"/>
      <c r="Q63" s="43"/>
      <c r="R63" s="43"/>
    </row>
    <row r="64" spans="2:18" x14ac:dyDescent="0.2">
      <c r="B64" s="31"/>
      <c r="H64" s="43"/>
      <c r="I64" s="44"/>
      <c r="J64" s="43"/>
      <c r="L64" s="43"/>
      <c r="M64" s="43"/>
      <c r="N64" s="43"/>
      <c r="Q64" s="43"/>
      <c r="R64" s="43"/>
    </row>
    <row r="65" spans="2:18" x14ac:dyDescent="0.2">
      <c r="B65" s="31"/>
      <c r="H65" s="43"/>
      <c r="I65" s="44"/>
      <c r="J65" s="43"/>
      <c r="L65" s="43"/>
      <c r="M65" s="43"/>
      <c r="N65" s="43"/>
      <c r="Q65" s="43"/>
      <c r="R65" s="43"/>
    </row>
    <row r="66" spans="2:18" x14ac:dyDescent="0.2">
      <c r="B66" s="31"/>
      <c r="H66" s="43"/>
      <c r="I66" s="44"/>
      <c r="J66" s="43"/>
      <c r="L66" s="43"/>
      <c r="M66" s="43"/>
      <c r="N66" s="43"/>
      <c r="Q66" s="43"/>
      <c r="R66" s="43"/>
    </row>
    <row r="67" spans="2:18" x14ac:dyDescent="0.2">
      <c r="B67" s="31"/>
      <c r="H67" s="43"/>
      <c r="I67" s="44"/>
      <c r="J67" s="43"/>
      <c r="L67" s="43"/>
      <c r="M67" s="43"/>
      <c r="N67" s="43"/>
      <c r="Q67" s="43"/>
      <c r="R67" s="43"/>
    </row>
    <row r="68" spans="2:18" x14ac:dyDescent="0.2">
      <c r="C68" s="24"/>
      <c r="H68" s="43"/>
      <c r="I68" s="44"/>
      <c r="J68" s="43"/>
      <c r="L68" s="43"/>
      <c r="M68" s="43"/>
      <c r="N68" s="43"/>
      <c r="Q68" s="43"/>
      <c r="R68" s="43"/>
    </row>
    <row r="69" spans="2:18" x14ac:dyDescent="0.2">
      <c r="C69" s="24"/>
      <c r="H69" s="43"/>
      <c r="I69" s="44"/>
      <c r="J69" s="43"/>
      <c r="L69" s="43"/>
      <c r="M69" s="43"/>
      <c r="N69" s="43"/>
      <c r="Q69" s="43"/>
      <c r="R69" s="43"/>
    </row>
    <row r="70" spans="2:18" x14ac:dyDescent="0.2">
      <c r="C70" s="24"/>
      <c r="H70" s="43"/>
      <c r="I70" s="44"/>
      <c r="J70" s="43"/>
      <c r="L70" s="43"/>
      <c r="M70" s="43"/>
      <c r="N70" s="43"/>
      <c r="Q70" s="43"/>
      <c r="R70" s="43"/>
    </row>
    <row r="71" spans="2:18" x14ac:dyDescent="0.2">
      <c r="C71" s="24"/>
      <c r="H71" s="43"/>
      <c r="I71" s="44"/>
      <c r="J71" s="43"/>
      <c r="L71" s="43"/>
      <c r="M71" s="43"/>
      <c r="N71" s="43"/>
      <c r="Q71" s="43"/>
      <c r="R71" s="43"/>
    </row>
    <row r="72" spans="2:18" x14ac:dyDescent="0.2">
      <c r="C72" s="24"/>
      <c r="H72" s="43"/>
      <c r="I72" s="44"/>
      <c r="J72" s="43"/>
      <c r="L72" s="43"/>
      <c r="M72" s="43"/>
      <c r="N72" s="43"/>
      <c r="Q72" s="43"/>
      <c r="R72" s="43"/>
    </row>
    <row r="73" spans="2:18" x14ac:dyDescent="0.2">
      <c r="C73" s="24"/>
      <c r="H73" s="43"/>
      <c r="I73" s="44"/>
      <c r="J73" s="43"/>
      <c r="L73" s="43"/>
      <c r="M73" s="43"/>
      <c r="N73" s="43"/>
      <c r="Q73" s="43"/>
      <c r="R73" s="43"/>
    </row>
    <row r="74" spans="2:18" x14ac:dyDescent="0.2">
      <c r="C74" s="24"/>
      <c r="H74" s="43"/>
      <c r="I74" s="44"/>
      <c r="J74" s="43"/>
      <c r="L74" s="43"/>
      <c r="M74" s="43"/>
      <c r="N74" s="43"/>
      <c r="Q74" s="43"/>
      <c r="R74" s="43"/>
    </row>
    <row r="75" spans="2:18" x14ac:dyDescent="0.2">
      <c r="C75" s="24"/>
      <c r="H75" s="43"/>
      <c r="I75" s="44"/>
      <c r="J75" s="43"/>
      <c r="L75" s="43"/>
      <c r="M75" s="43"/>
      <c r="N75" s="43"/>
      <c r="Q75" s="43"/>
      <c r="R75" s="43"/>
    </row>
    <row r="76" spans="2:18" x14ac:dyDescent="0.2">
      <c r="C76" s="24"/>
      <c r="H76" s="43"/>
      <c r="I76" s="44"/>
      <c r="J76" s="43"/>
      <c r="L76" s="43"/>
      <c r="M76" s="43"/>
      <c r="N76" s="43"/>
      <c r="Q76" s="43"/>
      <c r="R76" s="43"/>
    </row>
    <row r="77" spans="2:18" x14ac:dyDescent="0.2">
      <c r="C77" s="24"/>
      <c r="H77" s="43"/>
      <c r="I77" s="44"/>
      <c r="J77" s="43"/>
      <c r="L77" s="43"/>
      <c r="M77" s="43"/>
      <c r="N77" s="43"/>
      <c r="Q77" s="43"/>
      <c r="R77" s="43"/>
    </row>
    <row r="78" spans="2:18" x14ac:dyDescent="0.2">
      <c r="C78" s="24"/>
      <c r="H78" s="43"/>
      <c r="I78" s="44"/>
      <c r="J78" s="43"/>
      <c r="L78" s="43"/>
      <c r="M78" s="43"/>
      <c r="N78" s="43"/>
      <c r="Q78" s="43"/>
      <c r="R78" s="43"/>
    </row>
    <row r="79" spans="2:18" x14ac:dyDescent="0.2">
      <c r="C79" s="24"/>
      <c r="H79" s="43"/>
      <c r="I79" s="44"/>
      <c r="J79" s="43"/>
      <c r="L79" s="43"/>
      <c r="M79" s="43"/>
      <c r="N79" s="43"/>
      <c r="Q79" s="43"/>
      <c r="R79" s="43"/>
    </row>
    <row r="80" spans="2:18" x14ac:dyDescent="0.2">
      <c r="C80" s="24"/>
      <c r="H80" s="43"/>
      <c r="I80" s="44"/>
      <c r="J80" s="43"/>
      <c r="L80" s="43"/>
      <c r="M80" s="43"/>
      <c r="N80" s="43"/>
      <c r="Q80" s="43"/>
      <c r="R80" s="43"/>
    </row>
    <row r="81" spans="2:18" x14ac:dyDescent="0.2">
      <c r="C81" s="24"/>
      <c r="H81" s="43"/>
      <c r="I81" s="44"/>
      <c r="J81" s="43"/>
      <c r="L81" s="43"/>
      <c r="M81" s="43"/>
      <c r="N81" s="43"/>
      <c r="Q81" s="43"/>
      <c r="R81" s="43"/>
    </row>
    <row r="82" spans="2:18" x14ac:dyDescent="0.2">
      <c r="C82" s="24"/>
      <c r="H82" s="43"/>
      <c r="I82" s="44"/>
      <c r="J82" s="43"/>
      <c r="L82" s="43"/>
      <c r="M82" s="43"/>
      <c r="N82" s="43"/>
      <c r="Q82" s="43"/>
      <c r="R82" s="43"/>
    </row>
    <row r="83" spans="2:18" x14ac:dyDescent="0.2">
      <c r="C83" s="24"/>
      <c r="H83" s="43"/>
      <c r="I83" s="44"/>
      <c r="J83" s="43"/>
      <c r="L83" s="43"/>
      <c r="M83" s="43"/>
      <c r="N83" s="43"/>
      <c r="Q83" s="43"/>
      <c r="R83" s="43"/>
    </row>
    <row r="84" spans="2:18" x14ac:dyDescent="0.2">
      <c r="C84" s="24"/>
      <c r="H84" s="43"/>
      <c r="I84" s="44"/>
      <c r="J84" s="43"/>
      <c r="L84" s="43"/>
      <c r="M84" s="43"/>
      <c r="N84" s="43"/>
      <c r="Q84" s="43"/>
      <c r="R84" s="43"/>
    </row>
    <row r="85" spans="2:18" x14ac:dyDescent="0.2">
      <c r="C85" s="24"/>
      <c r="H85" s="43"/>
      <c r="I85" s="44"/>
      <c r="J85" s="43"/>
      <c r="L85" s="43"/>
      <c r="M85" s="43"/>
      <c r="N85" s="43"/>
      <c r="Q85" s="43"/>
      <c r="R85" s="43"/>
    </row>
    <row r="86" spans="2:18" x14ac:dyDescent="0.2">
      <c r="C86" s="24"/>
      <c r="H86" s="43"/>
      <c r="I86" s="44"/>
      <c r="J86" s="43"/>
      <c r="L86" s="43"/>
      <c r="M86" s="43"/>
      <c r="N86" s="43"/>
      <c r="Q86" s="43"/>
      <c r="R86" s="43"/>
    </row>
    <row r="87" spans="2:18" x14ac:dyDescent="0.2">
      <c r="C87" s="24"/>
      <c r="H87" s="43"/>
      <c r="I87" s="44"/>
      <c r="J87" s="43"/>
      <c r="L87" s="43"/>
      <c r="M87" s="43"/>
      <c r="N87" s="43"/>
      <c r="Q87" s="43"/>
      <c r="R87" s="43"/>
    </row>
    <row r="88" spans="2:18" x14ac:dyDescent="0.2">
      <c r="C88" s="24"/>
      <c r="H88" s="43"/>
      <c r="I88" s="44"/>
      <c r="J88" s="43"/>
      <c r="L88" s="43"/>
      <c r="M88" s="43"/>
      <c r="N88" s="43"/>
      <c r="Q88" s="43"/>
      <c r="R88" s="43"/>
    </row>
    <row r="89" spans="2:18" x14ac:dyDescent="0.2">
      <c r="C89" s="24"/>
      <c r="H89" s="43"/>
      <c r="I89" s="44"/>
      <c r="J89" s="43"/>
      <c r="L89" s="43"/>
      <c r="M89" s="43"/>
      <c r="N89" s="43"/>
      <c r="Q89" s="43"/>
      <c r="R89" s="43"/>
    </row>
    <row r="90" spans="2:18" x14ac:dyDescent="0.2">
      <c r="C90" s="24"/>
      <c r="H90" s="43"/>
      <c r="I90" s="44"/>
      <c r="J90" s="43"/>
      <c r="L90" s="43"/>
      <c r="M90" s="43"/>
      <c r="N90" s="43"/>
      <c r="Q90" s="43"/>
      <c r="R90" s="43"/>
    </row>
    <row r="91" spans="2:18" x14ac:dyDescent="0.2">
      <c r="C91" s="24"/>
      <c r="H91" s="43"/>
      <c r="I91" s="44"/>
      <c r="J91" s="43"/>
      <c r="L91" s="43"/>
      <c r="M91" s="43"/>
      <c r="N91" s="43"/>
      <c r="Q91" s="43"/>
      <c r="R91" s="43"/>
    </row>
    <row r="92" spans="2:18" x14ac:dyDescent="0.2">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2">
      <c r="H93" s="43"/>
      <c r="I93" s="44"/>
      <c r="J93" s="43"/>
      <c r="L93" s="43"/>
      <c r="M93" s="43"/>
      <c r="N93" s="43"/>
      <c r="Q93" s="43"/>
      <c r="R93" s="43"/>
    </row>
    <row r="94" spans="2:18" x14ac:dyDescent="0.2">
      <c r="B94" s="26" t="s">
        <v>1</v>
      </c>
      <c r="H94" s="43"/>
      <c r="I94" s="44"/>
      <c r="J94" s="43"/>
      <c r="L94" s="43"/>
      <c r="M94" s="43"/>
      <c r="N94" s="43"/>
      <c r="Q94" s="43"/>
      <c r="R94" s="43"/>
    </row>
    <row r="95" spans="2:18" x14ac:dyDescent="0.2">
      <c r="B95" s="26" t="s">
        <v>67</v>
      </c>
      <c r="H95" s="43"/>
      <c r="I95" s="44"/>
      <c r="J95" s="43"/>
      <c r="L95" s="43"/>
      <c r="M95" s="43"/>
      <c r="N95" s="43"/>
      <c r="Q95" s="43"/>
      <c r="R95" s="43"/>
    </row>
    <row r="96" spans="2:18" x14ac:dyDescent="0.2">
      <c r="B96" s="26"/>
      <c r="H96" s="43"/>
      <c r="I96" s="44"/>
      <c r="J96" s="43"/>
      <c r="L96" s="43"/>
      <c r="M96" s="43"/>
      <c r="N96" s="43"/>
      <c r="Q96" s="43"/>
      <c r="R96" s="43"/>
    </row>
    <row r="97" spans="2:18" x14ac:dyDescent="0.2">
      <c r="B97" s="26" t="str">
        <f>IF(Lang="Français","Fusée à eau  ",IF(Lang="English","Water-rocket  ",""))</f>
        <v xml:space="preserve">Fusée à eau  </v>
      </c>
      <c r="H97" s="43"/>
      <c r="I97" s="44"/>
      <c r="J97" s="43"/>
      <c r="L97" s="43"/>
      <c r="M97" s="43"/>
      <c r="N97" s="43"/>
      <c r="Q97" s="43"/>
      <c r="R97" s="43"/>
    </row>
    <row r="98" spans="2:18" x14ac:dyDescent="0.2">
      <c r="B98" s="26" t="str">
        <f>IF(Lang="Français","Microfusée",IF(Lang="English","Micro-rocket",""))</f>
        <v>Microfusée</v>
      </c>
      <c r="H98" s="43"/>
      <c r="I98" s="44"/>
      <c r="J98" s="43"/>
      <c r="L98" s="43"/>
      <c r="M98" s="43"/>
      <c r="N98" s="43"/>
      <c r="Q98" s="43"/>
      <c r="R98" s="43"/>
    </row>
    <row r="99" spans="2:18" x14ac:dyDescent="0.2">
      <c r="B99" s="26" t="str">
        <f>IF(Lang="Français","Minifusée",IF(Lang="English","Mini-rocket",""))</f>
        <v>Minifusée</v>
      </c>
      <c r="H99" s="43"/>
      <c r="I99" s="44"/>
      <c r="J99" s="43"/>
      <c r="L99" s="43"/>
      <c r="M99" s="43"/>
      <c r="N99" s="43"/>
      <c r="Q99" s="43"/>
      <c r="R99" s="43"/>
    </row>
    <row r="100" spans="2:18" x14ac:dyDescent="0.2">
      <c r="B100" s="26" t="str">
        <f>IF(Lang="Français","Fusée expérimentale.",IF(Lang="English","Experimental Rocket.",""))</f>
        <v>Fusée expérimentale.</v>
      </c>
      <c r="H100" s="43"/>
      <c r="I100" s="44"/>
      <c r="J100" s="43"/>
      <c r="L100" s="43"/>
      <c r="M100" s="43"/>
      <c r="N100" s="43"/>
      <c r="Q100" s="43"/>
      <c r="R100" s="43"/>
    </row>
    <row r="101" spans="2:18" x14ac:dyDescent="0.2">
      <c r="B101" s="26" t="s">
        <v>398</v>
      </c>
      <c r="H101" s="43"/>
      <c r="I101" s="44"/>
      <c r="J101" s="43"/>
      <c r="L101" s="43"/>
      <c r="M101" s="43"/>
      <c r="N101" s="43"/>
      <c r="Q101" s="43"/>
      <c r="R101" s="43"/>
    </row>
    <row r="102" spans="2:18" x14ac:dyDescent="0.2">
      <c r="B102" s="26"/>
      <c r="H102" s="43"/>
      <c r="I102" s="44"/>
      <c r="J102" s="43"/>
      <c r="L102" s="43"/>
      <c r="M102" s="43"/>
      <c r="N102" s="43"/>
      <c r="Q102" s="43"/>
      <c r="R102" s="43"/>
    </row>
    <row r="103" spans="2:18" x14ac:dyDescent="0.2">
      <c r="B103" s="26" t="str">
        <f>IF(Lang="Français","sans propu",IF(Lang="English","without motor",""))</f>
        <v>sans propu</v>
      </c>
      <c r="H103" s="43"/>
      <c r="I103" s="44"/>
      <c r="J103" s="43"/>
      <c r="L103" s="43"/>
      <c r="M103" s="43"/>
      <c r="N103" s="43"/>
      <c r="Q103" s="43"/>
      <c r="R103" s="43"/>
    </row>
    <row r="104" spans="2:18" x14ac:dyDescent="0.2">
      <c r="B104" s="26" t="str">
        <f>IF(Lang="Français","avec propu vide",IF(Lang="English","with empty motor",""))</f>
        <v>avec propu vide</v>
      </c>
      <c r="H104" s="43"/>
      <c r="I104" s="44"/>
      <c r="J104" s="43"/>
      <c r="L104" s="43"/>
      <c r="M104" s="43"/>
      <c r="N104" s="43"/>
      <c r="Q104" s="43"/>
      <c r="R104" s="43"/>
    </row>
    <row r="105" spans="2:18" x14ac:dyDescent="0.2">
      <c r="B105" s="26" t="str">
        <f>IF(Lang="Français","avec propu plein",IF(Lang="English","with loaded motor",""))</f>
        <v>avec propu plein</v>
      </c>
      <c r="H105" s="43"/>
      <c r="I105" s="44"/>
      <c r="J105" s="43"/>
      <c r="L105" s="43"/>
      <c r="M105" s="43"/>
      <c r="N105" s="43"/>
      <c r="Q105" s="43"/>
      <c r="R105" s="43"/>
    </row>
    <row r="106" spans="2:18" x14ac:dyDescent="0.2">
      <c r="B106" s="26"/>
      <c r="H106" s="43"/>
      <c r="I106" s="44"/>
      <c r="J106" s="43"/>
      <c r="L106" s="43"/>
      <c r="M106" s="43"/>
      <c r="N106" s="43"/>
      <c r="Q106" s="43"/>
      <c r="R106" s="43"/>
    </row>
    <row r="107" spans="2:18" x14ac:dyDescent="0.2">
      <c r="B107" s="26" t="str">
        <f>IF(Lang="Français","Parabolique (arrondie)",IF(Lang="English","Parabola (rounded)",""))</f>
        <v>Parabolique (arrondie)</v>
      </c>
      <c r="H107" s="43"/>
      <c r="I107" s="44"/>
      <c r="J107" s="43"/>
      <c r="L107" s="43"/>
      <c r="M107" s="43"/>
      <c r="N107" s="43"/>
      <c r="Q107" s="43"/>
      <c r="R107" s="43"/>
    </row>
    <row r="108" spans="2:18" x14ac:dyDescent="0.2">
      <c r="B108" s="26" t="str">
        <f>IF(Lang="Français","Ogivale (pointue)",IF(Lang="English","Ogive (sharp)",""))</f>
        <v>Ogivale (pointue)</v>
      </c>
      <c r="H108" s="43"/>
      <c r="I108" s="44"/>
      <c r="J108" s="43"/>
      <c r="L108" s="43"/>
      <c r="M108" s="43"/>
      <c r="N108" s="43"/>
      <c r="Q108" s="43"/>
      <c r="R108" s="43"/>
    </row>
    <row r="109" spans="2:18" x14ac:dyDescent="0.2">
      <c r="B109" s="26" t="str">
        <f>IF(Lang="Français","Conique (droite)",IF(Lang="English","Cone (straight)",""))</f>
        <v>Conique (droite)</v>
      </c>
      <c r="H109" s="43"/>
      <c r="I109" s="44"/>
      <c r="J109" s="43"/>
      <c r="L109" s="43"/>
      <c r="M109" s="43"/>
      <c r="N109" s="43"/>
      <c r="Q109" s="43"/>
      <c r="R109" s="43"/>
    </row>
    <row r="110" spans="2:18" x14ac:dyDescent="0.2">
      <c r="B110" s="38"/>
      <c r="H110" s="43"/>
      <c r="I110" s="44"/>
      <c r="J110" s="43"/>
      <c r="L110" s="43"/>
      <c r="M110" s="43"/>
      <c r="N110" s="43"/>
      <c r="Q110" s="43"/>
      <c r="R110" s="43"/>
    </row>
    <row r="111" spans="2:18" x14ac:dyDescent="0.2">
      <c r="B111" s="38" t="s">
        <v>424</v>
      </c>
      <c r="H111" s="43"/>
      <c r="I111" s="44"/>
      <c r="J111" s="43"/>
      <c r="L111" s="43"/>
      <c r="M111" s="43"/>
      <c r="N111" s="43"/>
      <c r="Q111" s="43"/>
      <c r="R111" s="43"/>
    </row>
    <row r="112" spans="2:18" x14ac:dyDescent="0.2">
      <c r="B112" s="38" t="s">
        <v>425</v>
      </c>
      <c r="H112" s="43"/>
      <c r="I112" s="44"/>
      <c r="J112" s="43"/>
      <c r="L112" s="43"/>
      <c r="M112" s="43"/>
      <c r="N112" s="43"/>
      <c r="Q112" s="43"/>
      <c r="R112" s="43"/>
    </row>
    <row r="113" spans="2:18" x14ac:dyDescent="0.2">
      <c r="B113" s="38"/>
      <c r="H113" s="43"/>
      <c r="I113" s="44"/>
      <c r="J113" s="43"/>
      <c r="L113" s="43"/>
      <c r="M113" s="43"/>
      <c r="N113" s="43"/>
      <c r="Q113" s="43"/>
      <c r="R113" s="43"/>
    </row>
    <row r="114" spans="2:18" x14ac:dyDescent="0.2">
      <c r="B114" s="38" t="str">
        <f>IF(Lang="Français","Fusée mono-diamètre,",IF(Lang="English","Mono-diameter rocket,",""))</f>
        <v>Fusée mono-diamètre,</v>
      </c>
      <c r="H114" s="43"/>
      <c r="I114" s="44"/>
      <c r="J114" s="43"/>
      <c r="L114" s="43"/>
      <c r="M114" s="43"/>
      <c r="N114" s="43"/>
      <c r="Q114" s="43"/>
      <c r="R114" s="43"/>
    </row>
    <row r="115" spans="2:18" x14ac:dyDescent="0.2">
      <c r="B115" s="38" t="str">
        <f>IF(Lang="Français","Plusieurs diamètres.",IF(Lang="English","Many diameters rocket.",""))</f>
        <v>Plusieurs diamètres.</v>
      </c>
      <c r="H115" s="43"/>
      <c r="I115" s="44"/>
      <c r="J115" s="43"/>
      <c r="L115" s="43"/>
      <c r="M115" s="43"/>
      <c r="N115" s="43"/>
      <c r="Q115" s="43"/>
      <c r="R115" s="43"/>
    </row>
    <row r="116" spans="2:18" x14ac:dyDescent="0.2">
      <c r="B116" s="38"/>
      <c r="H116" s="43"/>
      <c r="I116" s="44"/>
      <c r="J116" s="43"/>
      <c r="L116" s="43"/>
      <c r="M116" s="43"/>
      <c r="N116" s="43"/>
      <c r="Q116" s="43"/>
      <c r="R116" s="43"/>
    </row>
    <row r="117" spans="2:18" x14ac:dyDescent="0.2">
      <c r="B117" s="223" t="str">
        <f>IF(Lang="Français","Diagramme des critères de stabilité","Stability criterions diagram")</f>
        <v>Diagramme des critères de stabilité</v>
      </c>
      <c r="H117" s="43"/>
      <c r="I117" s="44"/>
      <c r="J117" s="43"/>
      <c r="L117" s="43"/>
      <c r="M117" s="43"/>
      <c r="N117" s="43"/>
      <c r="Q117" s="43"/>
      <c r="R117" s="43"/>
    </row>
    <row r="118" spans="2:18" x14ac:dyDescent="0.2">
      <c r="B118" s="223" t="str">
        <f>IF(Lang="Français","Marge Statique (MS)","Static Margin")</f>
        <v>Marge Statique (MS)</v>
      </c>
      <c r="H118" s="43"/>
      <c r="I118" s="44"/>
      <c r="J118" s="43"/>
      <c r="L118" s="43"/>
      <c r="M118" s="43"/>
      <c r="N118" s="43"/>
      <c r="Q118" s="43"/>
      <c r="R118" s="43"/>
    </row>
    <row r="119" spans="2:18" x14ac:dyDescent="0.2">
      <c r="B119" s="223" t="str">
        <f>IF(Lang="Français","Portance Cnα","Lift Cnα")</f>
        <v>Portance Cnα</v>
      </c>
      <c r="H119" s="43"/>
      <c r="I119" s="44"/>
      <c r="J119" s="43"/>
      <c r="L119" s="43"/>
      <c r="M119" s="43"/>
      <c r="N119" s="43"/>
      <c r="Q119" s="43"/>
      <c r="R119" s="43"/>
    </row>
    <row r="120" spans="2:18" x14ac:dyDescent="0.2">
      <c r="B120" s="38"/>
      <c r="H120" s="43"/>
      <c r="I120" s="44"/>
      <c r="J120" s="43"/>
      <c r="L120" s="43"/>
      <c r="M120" s="43"/>
      <c r="N120" s="43"/>
      <c r="Q120" s="43"/>
      <c r="R120" s="43"/>
    </row>
    <row r="121" spans="2:18" x14ac:dyDescent="0.2">
      <c r="B121" s="24" t="str">
        <f>IF(Lang="Français","Données pour les graphiques :",IF(Lang="English","Data for plots:",""))</f>
        <v>Données pour les graphiques :</v>
      </c>
      <c r="H121" s="43"/>
      <c r="I121" s="44"/>
      <c r="J121" s="43"/>
      <c r="L121" s="43"/>
      <c r="M121" s="43"/>
      <c r="N121" s="43"/>
      <c r="Q121" s="43"/>
      <c r="R121" s="43"/>
    </row>
    <row r="122" spans="2:18" x14ac:dyDescent="0.2">
      <c r="H122" s="43"/>
      <c r="I122" s="44"/>
      <c r="J122" s="43"/>
      <c r="L122" s="43"/>
      <c r="M122" s="43"/>
      <c r="N122" s="43"/>
      <c r="Q122" s="43"/>
      <c r="R122" s="43"/>
    </row>
    <row r="123" spans="2:18" x14ac:dyDescent="0.2">
      <c r="B123" s="45"/>
      <c r="C123" s="45" t="s">
        <v>68</v>
      </c>
      <c r="D123" s="45" t="s">
        <v>69</v>
      </c>
      <c r="E123" s="92" t="s">
        <v>70</v>
      </c>
      <c r="K123" s="45"/>
    </row>
    <row r="124" spans="2:18" x14ac:dyDescent="0.2">
      <c r="B124" s="45" t="s">
        <v>72</v>
      </c>
      <c r="C124" s="46">
        <f>-Long_ogive</f>
        <v>-252</v>
      </c>
      <c r="D124" s="46">
        <v>0</v>
      </c>
      <c r="E124" s="93">
        <f t="shared" ref="E124:E136" si="0">-D124</f>
        <v>0</v>
      </c>
      <c r="K124" s="46"/>
    </row>
    <row r="125" spans="2:18" x14ac:dyDescent="0.2">
      <c r="B125" s="45" t="s">
        <v>72</v>
      </c>
      <c r="C125" s="46">
        <f>-Long_ogive</f>
        <v>-252</v>
      </c>
      <c r="D125" s="46">
        <f>D_og/2</f>
        <v>42</v>
      </c>
      <c r="E125" s="93">
        <f t="shared" si="0"/>
        <v>-42</v>
      </c>
      <c r="K125" s="46"/>
    </row>
    <row r="126" spans="2:18" x14ac:dyDescent="0.2">
      <c r="B126" s="45" t="s">
        <v>73</v>
      </c>
      <c r="C126" s="46">
        <f>IF(AND(RIGHT(Nb_diam,1)=".",X_j), -X_j, C125 )</f>
        <v>-252</v>
      </c>
      <c r="D126" s="46">
        <f>IF(AND(RIGHT(Nb_diam,1)=".",X_j), D1j/2, D125 )</f>
        <v>42</v>
      </c>
      <c r="E126" s="93">
        <f t="shared" si="0"/>
        <v>-42</v>
      </c>
      <c r="K126" s="46"/>
    </row>
    <row r="127" spans="2:18" x14ac:dyDescent="0.2">
      <c r="B127" s="45" t="s">
        <v>74</v>
      </c>
      <c r="C127" s="46">
        <f>IF(AND(RIGHT(Nb_diam,1)=".",X_j), -X_j-l_j, C126 )</f>
        <v>-252</v>
      </c>
      <c r="D127" s="46">
        <f>IF(AND(RIGHT(Nb_diam,1)=".",X_j), D2j/2, D126 )</f>
        <v>42</v>
      </c>
      <c r="E127" s="93">
        <f t="shared" si="0"/>
        <v>-42</v>
      </c>
      <c r="K127" s="46"/>
    </row>
    <row r="128" spans="2:18" x14ac:dyDescent="0.2">
      <c r="B128" s="45" t="s">
        <v>75</v>
      </c>
      <c r="C128" s="46">
        <f>IF(AND(RIGHT(Nb_diam,1)=".",X_r), -X_r, C127 )</f>
        <v>-252</v>
      </c>
      <c r="D128" s="46">
        <f>IF(AND(RIGHT(Nb_diam,1)=".",X_r), D1r/2, D127 )</f>
        <v>42</v>
      </c>
      <c r="E128" s="93">
        <f t="shared" si="0"/>
        <v>-42</v>
      </c>
      <c r="K128" s="46"/>
    </row>
    <row r="129" spans="2:11" x14ac:dyDescent="0.2">
      <c r="B129" s="45" t="s">
        <v>76</v>
      </c>
      <c r="C129" s="46">
        <f>IF(AND(RIGHT(Nb_diam,1)=".",X_r), -X_r-l_r, C128 )</f>
        <v>-252</v>
      </c>
      <c r="D129" s="46">
        <f>IF(AND(RIGHT(Nb_diam,1)=".",X_r), D2r/2, D128 )</f>
        <v>42</v>
      </c>
      <c r="E129" s="93">
        <f t="shared" si="0"/>
        <v>-42</v>
      </c>
      <c r="K129" s="46"/>
    </row>
    <row r="130" spans="2:11" x14ac:dyDescent="0.2">
      <c r="B130" s="45" t="s">
        <v>77</v>
      </c>
      <c r="C130" s="46">
        <f>-Long_tot</f>
        <v>-992</v>
      </c>
      <c r="D130" s="46">
        <f>D129</f>
        <v>42</v>
      </c>
      <c r="E130" s="93">
        <f t="shared" si="0"/>
        <v>-42</v>
      </c>
      <c r="K130" s="46"/>
    </row>
    <row r="131" spans="2:11" x14ac:dyDescent="0.2">
      <c r="B131" s="45" t="s">
        <v>77</v>
      </c>
      <c r="C131" s="46">
        <f>-Long_tot</f>
        <v>-992</v>
      </c>
      <c r="D131" s="46">
        <v>0</v>
      </c>
      <c r="E131" s="93">
        <f t="shared" si="0"/>
        <v>0</v>
      </c>
      <c r="K131" s="46"/>
    </row>
    <row r="132" spans="2:11" x14ac:dyDescent="0.2">
      <c r="B132" s="183" t="s">
        <v>78</v>
      </c>
      <c r="C132" s="197">
        <f>-X_ail+m_ail</f>
        <v>-772</v>
      </c>
      <c r="D132" s="197">
        <f>D_ail/2</f>
        <v>42</v>
      </c>
      <c r="E132" s="198">
        <f t="shared" si="0"/>
        <v>-42</v>
      </c>
      <c r="K132" s="46"/>
    </row>
    <row r="133" spans="2:11" x14ac:dyDescent="0.2">
      <c r="B133" s="185" t="s">
        <v>79</v>
      </c>
      <c r="C133" s="46">
        <f>-X_ail+m_ail-p_ail</f>
        <v>-892</v>
      </c>
      <c r="D133" s="46">
        <f>D_ail/2+E_ail</f>
        <v>149</v>
      </c>
      <c r="E133" s="199">
        <f t="shared" si="0"/>
        <v>-149</v>
      </c>
      <c r="K133" s="46"/>
    </row>
    <row r="134" spans="2:11" x14ac:dyDescent="0.2">
      <c r="B134" s="185" t="s">
        <v>80</v>
      </c>
      <c r="C134" s="46">
        <f>-X_ail+m_ail-p_ail-n_ail</f>
        <v>-972</v>
      </c>
      <c r="D134" s="46">
        <f>D_ail/2+E_ail</f>
        <v>149</v>
      </c>
      <c r="E134" s="199">
        <f t="shared" si="0"/>
        <v>-149</v>
      </c>
      <c r="K134" s="46"/>
    </row>
    <row r="135" spans="2:11" x14ac:dyDescent="0.2">
      <c r="B135" s="185" t="s">
        <v>81</v>
      </c>
      <c r="C135" s="46">
        <f>-X_ail</f>
        <v>-942</v>
      </c>
      <c r="D135" s="46">
        <f>D_ail/2</f>
        <v>42</v>
      </c>
      <c r="E135" s="199">
        <f t="shared" si="0"/>
        <v>-42</v>
      </c>
      <c r="K135" s="46"/>
    </row>
    <row r="136" spans="2:11" x14ac:dyDescent="0.2">
      <c r="B136" s="187" t="s">
        <v>78</v>
      </c>
      <c r="C136" s="200">
        <f>-X_ail+m_ail</f>
        <v>-772</v>
      </c>
      <c r="D136" s="200">
        <f>D_ail/2</f>
        <v>42</v>
      </c>
      <c r="E136" s="201">
        <f t="shared" si="0"/>
        <v>-42</v>
      </c>
      <c r="K136" s="46"/>
    </row>
    <row r="137" spans="2:11" x14ac:dyDescent="0.2">
      <c r="B137" s="192" t="str">
        <f>IF(E_ail&gt;0,IF(Lang="Français","Envergure","Span"),"")</f>
        <v>Envergure</v>
      </c>
      <c r="C137" s="197">
        <f>MIN(-X_ail,-X_ail+m_ail-p_ail-n_ail)-Long_tot/30</f>
        <v>-1005.0666666666667</v>
      </c>
      <c r="D137" s="207">
        <f>-D_ail/2-E_ail</f>
        <v>-149</v>
      </c>
      <c r="E137" s="93"/>
      <c r="K137" s="46"/>
    </row>
    <row r="138" spans="2:11" x14ac:dyDescent="0.2">
      <c r="B138" s="195" t="s">
        <v>166</v>
      </c>
      <c r="C138" s="46">
        <f>MIN(-X_ail,-X_ail+m_ail-p_ail-n_ail)-Long_tot/30</f>
        <v>-1005.0666666666667</v>
      </c>
      <c r="D138" s="208">
        <f>-D_ail/2-E_ail/2</f>
        <v>-95.5</v>
      </c>
      <c r="E138" s="93"/>
      <c r="K138" s="46"/>
    </row>
    <row r="139" spans="2:11" x14ac:dyDescent="0.2">
      <c r="B139" s="212" t="s">
        <v>162</v>
      </c>
      <c r="C139" s="200">
        <f>MIN(-X_ail,-X_ail+m_ail-p_ail-n_ail)-Long_tot/30</f>
        <v>-1005.0666666666667</v>
      </c>
      <c r="D139" s="209">
        <f>-D_ail/2</f>
        <v>-42</v>
      </c>
      <c r="E139" s="93"/>
      <c r="K139" s="46"/>
    </row>
    <row r="140" spans="2:11" x14ac:dyDescent="0.2">
      <c r="B140" s="192" t="str">
        <f>IF(Lang="Français","Emplanture","Root edge")</f>
        <v>Emplanture</v>
      </c>
      <c r="C140" s="197">
        <f>-X_ail+m_ail</f>
        <v>-772</v>
      </c>
      <c r="D140" s="207">
        <f>D_ail/2+E_ail+Long_tot/20</f>
        <v>198.6</v>
      </c>
      <c r="E140" s="93"/>
      <c r="K140" s="46"/>
    </row>
    <row r="141" spans="2:11" x14ac:dyDescent="0.2">
      <c r="B141" s="195" t="s">
        <v>168</v>
      </c>
      <c r="C141" s="46">
        <f>-X_ail+m_ail/2</f>
        <v>-857</v>
      </c>
      <c r="D141" s="208">
        <f>D_ail/2+E_ail+Long_tot/20</f>
        <v>198.6</v>
      </c>
      <c r="E141" s="93"/>
      <c r="K141" s="46"/>
    </row>
    <row r="142" spans="2:11" x14ac:dyDescent="0.2">
      <c r="B142" s="212" t="s">
        <v>169</v>
      </c>
      <c r="C142" s="200">
        <f>-X_ail</f>
        <v>-942</v>
      </c>
      <c r="D142" s="209">
        <f>D_ail/2+E_ail+Long_tot/20</f>
        <v>198.6</v>
      </c>
      <c r="E142" s="93"/>
      <c r="K142" s="46"/>
    </row>
    <row r="143" spans="2:11" x14ac:dyDescent="0.2">
      <c r="B143" s="192" t="str">
        <f>IF(p_ail&lt;&gt;0,IF(Lang="Français","Flèche","Offset"),"")</f>
        <v>Flèche</v>
      </c>
      <c r="C143" s="197">
        <f>-X_ail+m_ail</f>
        <v>-772</v>
      </c>
      <c r="D143" s="207">
        <f>-D_ail/2-E_ail-Long_tot/30</f>
        <v>-182.06666666666666</v>
      </c>
      <c r="E143" s="93"/>
      <c r="K143" s="46"/>
    </row>
    <row r="144" spans="2:11" x14ac:dyDescent="0.2">
      <c r="B144" s="195" t="s">
        <v>165</v>
      </c>
      <c r="C144" s="46">
        <f>-X_ail+m_ail-p_ail/2</f>
        <v>-832</v>
      </c>
      <c r="D144" s="208">
        <f>-D_ail/2-E_ail-Long_tot/30</f>
        <v>-182.06666666666666</v>
      </c>
      <c r="E144" s="93"/>
      <c r="K144" s="46"/>
    </row>
    <row r="145" spans="2:11" x14ac:dyDescent="0.2">
      <c r="B145" s="212" t="s">
        <v>163</v>
      </c>
      <c r="C145" s="200">
        <f>-X_ail+m_ail-p_ail</f>
        <v>-892</v>
      </c>
      <c r="D145" s="209">
        <f>-D_ail/2-E_ail-Long_tot/30</f>
        <v>-182.06666666666666</v>
      </c>
      <c r="E145" s="93"/>
      <c r="K145" s="46"/>
    </row>
    <row r="146" spans="2:11" x14ac:dyDescent="0.2">
      <c r="B146" s="192" t="str">
        <f>IF(n_ail&gt;0,IF(Lang="Français","Saumon","Tip edge"),"")</f>
        <v>Saumon</v>
      </c>
      <c r="C146" s="197">
        <f>-X_ail+m_ail-p_ail</f>
        <v>-892</v>
      </c>
      <c r="D146" s="207">
        <f>-D_ail/2-E_ail-Long_tot/20</f>
        <v>-198.6</v>
      </c>
      <c r="E146" s="93"/>
      <c r="K146" s="46"/>
    </row>
    <row r="147" spans="2:11" x14ac:dyDescent="0.2">
      <c r="B147" s="195" t="s">
        <v>167</v>
      </c>
      <c r="C147" s="46">
        <f>-X_ail+m_ail-p_ail-n_ail/2</f>
        <v>-932</v>
      </c>
      <c r="D147" s="208">
        <f>-D_ail/2-E_ail-Long_tot/20</f>
        <v>-198.6</v>
      </c>
      <c r="E147" s="93"/>
      <c r="K147" s="46"/>
    </row>
    <row r="148" spans="2:11" x14ac:dyDescent="0.2">
      <c r="B148" s="212" t="s">
        <v>164</v>
      </c>
      <c r="C148" s="200">
        <f>-X_ail+m_ail-p_ail-n_ail</f>
        <v>-972</v>
      </c>
      <c r="D148" s="209">
        <f>-D_ail/2-E_ail-Long_tot/20</f>
        <v>-198.6</v>
      </c>
      <c r="E148" s="93"/>
      <c r="K148" s="46"/>
    </row>
    <row r="149" spans="2:11" x14ac:dyDescent="0.2">
      <c r="B149" s="183" t="s">
        <v>82</v>
      </c>
      <c r="C149" s="197">
        <f ca="1">-XcgPlein</f>
        <v>-545.59795737994693</v>
      </c>
      <c r="D149" s="207">
        <v>0</v>
      </c>
      <c r="E149" s="93"/>
      <c r="K149" s="46"/>
    </row>
    <row r="150" spans="2:11" x14ac:dyDescent="0.2">
      <c r="B150" s="187" t="s">
        <v>83</v>
      </c>
      <c r="C150" s="200">
        <f ca="1">-XcgVide</f>
        <v>-538.43198066659954</v>
      </c>
      <c r="D150" s="209">
        <v>0</v>
      </c>
      <c r="E150" s="93"/>
      <c r="K150" s="46"/>
    </row>
    <row r="151" spans="2:11" x14ac:dyDescent="0.2">
      <c r="B151" s="183" t="s">
        <v>84</v>
      </c>
      <c r="C151" s="197">
        <f>-XCp</f>
        <v>-769.02762675440692</v>
      </c>
      <c r="D151" s="207">
        <v>0</v>
      </c>
      <c r="E151" s="93"/>
      <c r="K151" s="46"/>
    </row>
    <row r="152" spans="2:11" x14ac:dyDescent="0.2">
      <c r="B152" s="187" t="s">
        <v>84</v>
      </c>
      <c r="C152" s="200">
        <f>-XCp</f>
        <v>-769.02762675440692</v>
      </c>
      <c r="D152" s="209">
        <f>Cn*D_ref/CritCnmin</f>
        <v>87.372101895940062</v>
      </c>
      <c r="E152" s="93"/>
      <c r="K152" s="46"/>
    </row>
    <row r="153" spans="2:11" x14ac:dyDescent="0.2">
      <c r="B153" s="185" t="s">
        <v>422</v>
      </c>
      <c r="C153" s="46">
        <f>-XCp0</f>
        <v>-769.02762675440692</v>
      </c>
      <c r="D153" s="208">
        <f>Cn0*D_ref/CritCnmin</f>
        <v>87.372101895940062</v>
      </c>
      <c r="E153" s="93"/>
      <c r="K153" s="46"/>
    </row>
    <row r="154" spans="2:11" x14ac:dyDescent="0.2">
      <c r="B154" s="185" t="s">
        <v>422</v>
      </c>
      <c r="C154" s="46">
        <f>-XCp0</f>
        <v>-769.02762675440692</v>
      </c>
      <c r="D154" s="208">
        <v>0</v>
      </c>
      <c r="E154" s="93"/>
      <c r="K154" s="46"/>
    </row>
    <row r="155" spans="2:11" x14ac:dyDescent="0.2">
      <c r="B155" s="192" t="str">
        <f>IF(n_ail&gt;0,IF(Lang="Français","Marge Statique","Static Margin"),"")</f>
        <v>Marge Statique</v>
      </c>
      <c r="C155" s="197">
        <f ca="1">(-XcgPlein-XcgVide)/2</f>
        <v>-542.01496902327324</v>
      </c>
      <c r="D155" s="207">
        <f>-D_ail/2-E_ail-Long_tot/20</f>
        <v>-198.6</v>
      </c>
      <c r="E155" s="93"/>
      <c r="K155" s="46"/>
    </row>
    <row r="156" spans="2:11" x14ac:dyDescent="0.2">
      <c r="B156" s="195" t="s">
        <v>170</v>
      </c>
      <c r="C156" s="46">
        <f ca="1">(C155+C157)/2</f>
        <v>-655.52129788884008</v>
      </c>
      <c r="D156" s="208">
        <f>-D_ail/2-E_ail-Long_tot/20</f>
        <v>-198.6</v>
      </c>
      <c r="E156" s="93"/>
      <c r="K156" s="46"/>
    </row>
    <row r="157" spans="2:11" x14ac:dyDescent="0.2">
      <c r="B157" s="212" t="s">
        <v>171</v>
      </c>
      <c r="C157" s="200">
        <f>-XCp</f>
        <v>-769.02762675440692</v>
      </c>
      <c r="D157" s="209">
        <f>-D_ail/2-E_ail-Long_tot/20</f>
        <v>-198.6</v>
      </c>
      <c r="E157" s="93"/>
      <c r="K157" s="46"/>
    </row>
    <row r="158" spans="2:11" x14ac:dyDescent="0.2">
      <c r="B158" s="183" t="s">
        <v>85</v>
      </c>
      <c r="C158" s="197">
        <f>IF(LEFT(Type_masquage,1)="M",0,-X_can+m_can)</f>
        <v>0</v>
      </c>
      <c r="D158" s="197">
        <f>IF(LEFT(Type_masquage,1)="M",0,D_ail/2)</f>
        <v>0</v>
      </c>
      <c r="E158" s="198">
        <f t="shared" ref="E158:E167" si="1">-D158</f>
        <v>0</v>
      </c>
      <c r="K158" s="46"/>
    </row>
    <row r="159" spans="2:11" x14ac:dyDescent="0.2">
      <c r="B159" s="185" t="s">
        <v>86</v>
      </c>
      <c r="C159" s="46">
        <f>IF(LEFT(Type_masquage,1)="M",0,-X_can+m_can-p_can)</f>
        <v>0</v>
      </c>
      <c r="D159" s="46">
        <f>IF(LEFT(Type_masquage,1)="M",0,D_ail/2+E_can)</f>
        <v>0</v>
      </c>
      <c r="E159" s="199">
        <f t="shared" si="1"/>
        <v>0</v>
      </c>
      <c r="K159" s="46"/>
    </row>
    <row r="160" spans="2:11" x14ac:dyDescent="0.2">
      <c r="B160" s="185" t="s">
        <v>87</v>
      </c>
      <c r="C160" s="46">
        <f>IF(LEFT(Type_masquage,1)="M",0,-X_can+m_can-p_can-n_can)</f>
        <v>0</v>
      </c>
      <c r="D160" s="46">
        <f>IF(LEFT(Type_masquage,1)="M",0,D_ail/2+E_can)</f>
        <v>0</v>
      </c>
      <c r="E160" s="199">
        <f t="shared" si="1"/>
        <v>0</v>
      </c>
      <c r="K160" s="46"/>
    </row>
    <row r="161" spans="2:11" x14ac:dyDescent="0.2">
      <c r="B161" s="185" t="s">
        <v>88</v>
      </c>
      <c r="C161" s="46">
        <f>IF(LEFT(Type_masquage,1)="M",0,-X_can)</f>
        <v>0</v>
      </c>
      <c r="D161" s="46">
        <f>IF(LEFT(Type_masquage,1)="M",0,D_ail/2)</f>
        <v>0</v>
      </c>
      <c r="E161" s="199">
        <f t="shared" si="1"/>
        <v>0</v>
      </c>
      <c r="K161" s="46"/>
    </row>
    <row r="162" spans="2:11" x14ac:dyDescent="0.2">
      <c r="B162" s="187" t="s">
        <v>85</v>
      </c>
      <c r="C162" s="200">
        <f>IF(LEFT(Type_masquage,1)="M",0,-X_can+m_can)</f>
        <v>0</v>
      </c>
      <c r="D162" s="200">
        <f>IF(LEFT(Type_masquage,1)="M",0,D_ail/2)</f>
        <v>0</v>
      </c>
      <c r="E162" s="201">
        <f t="shared" si="1"/>
        <v>0</v>
      </c>
      <c r="K162" s="46"/>
    </row>
    <row r="163" spans="2:11" x14ac:dyDescent="0.2">
      <c r="B163" s="183" t="s">
        <v>89</v>
      </c>
      <c r="C163" s="197">
        <f>IF(LEFT(Type_masquage,1)="B",-X_int+m_int,0)</f>
        <v>0</v>
      </c>
      <c r="D163" s="197">
        <f>IF(LEFT(Type_masquage,1)="B",D_int/2,0)</f>
        <v>0</v>
      </c>
      <c r="E163" s="198">
        <f t="shared" si="1"/>
        <v>0</v>
      </c>
      <c r="K163" s="46"/>
    </row>
    <row r="164" spans="2:11" x14ac:dyDescent="0.2">
      <c r="B164" s="185" t="s">
        <v>90</v>
      </c>
      <c r="C164" s="46">
        <f>IF(LEFT(Type_masquage,1)="B",-X_int+m_int-p_int,0)</f>
        <v>0</v>
      </c>
      <c r="D164" s="46">
        <f>IF(LEFT(Type_masquage,1)="B",D_int/2+E_int,0)</f>
        <v>0</v>
      </c>
      <c r="E164" s="199">
        <f t="shared" si="1"/>
        <v>0</v>
      </c>
      <c r="K164" s="46"/>
    </row>
    <row r="165" spans="2:11" x14ac:dyDescent="0.2">
      <c r="B165" s="185" t="s">
        <v>91</v>
      </c>
      <c r="C165" s="46">
        <f>IF(LEFT(Type_masquage,1)="B",-X_int+m_int-p_int-n_int,0)</f>
        <v>0</v>
      </c>
      <c r="D165" s="46">
        <f>IF(LEFT(Type_masquage,1)="B",D_int/2+E_int,0)</f>
        <v>0</v>
      </c>
      <c r="E165" s="199">
        <f t="shared" si="1"/>
        <v>0</v>
      </c>
      <c r="K165" s="46"/>
    </row>
    <row r="166" spans="2:11" x14ac:dyDescent="0.2">
      <c r="B166" s="185" t="s">
        <v>92</v>
      </c>
      <c r="C166" s="46">
        <f>IF(LEFT(Type_masquage,1)="B",-X_int,0)</f>
        <v>0</v>
      </c>
      <c r="D166" s="46">
        <f>IF(LEFT(Type_masquage,1)="B",D_int/2,0)</f>
        <v>0</v>
      </c>
      <c r="E166" s="199">
        <f t="shared" si="1"/>
        <v>0</v>
      </c>
      <c r="K166" s="46"/>
    </row>
    <row r="167" spans="2:11" x14ac:dyDescent="0.2">
      <c r="B167" s="187" t="s">
        <v>89</v>
      </c>
      <c r="C167" s="200">
        <f>IF(LEFT(Type_masquage,1)="B",-X_int+m_int,0)</f>
        <v>0</v>
      </c>
      <c r="D167" s="200">
        <f>IF(LEFT(Type_masquage,1)="B",D_int/2,0)</f>
        <v>0</v>
      </c>
      <c r="E167" s="201">
        <f t="shared" si="1"/>
        <v>0</v>
      </c>
      <c r="K167" s="46"/>
    </row>
    <row r="168" spans="2:11" x14ac:dyDescent="0.2">
      <c r="B168" s="45" t="s">
        <v>93</v>
      </c>
      <c r="C168" s="46">
        <f>-MAX(Long_tot, X_ail-m_ail+p_ail+n_ail, (E_ail+D_ail/2)*3.2)*1.01</f>
        <v>-1001.92</v>
      </c>
      <c r="D168" s="46">
        <f>MAX(E_ail+D_ail/2, Long_tot/3)</f>
        <v>330.66666666666669</v>
      </c>
      <c r="E168" s="93"/>
      <c r="K168" s="46"/>
    </row>
    <row r="169" spans="2:11" x14ac:dyDescent="0.2">
      <c r="B169" s="45" t="s">
        <v>93</v>
      </c>
      <c r="C169" s="46">
        <f>C168</f>
        <v>-1001.92</v>
      </c>
      <c r="D169" s="46">
        <f>-D168</f>
        <v>-330.66666666666669</v>
      </c>
      <c r="E169" s="93"/>
      <c r="K169" s="46"/>
    </row>
    <row r="170" spans="2:11" x14ac:dyDescent="0.2">
      <c r="B170" s="183" t="s">
        <v>94</v>
      </c>
      <c r="C170" s="197">
        <f ca="1">-XpropuRef+Long_propu</f>
        <v>-714</v>
      </c>
      <c r="D170" s="207">
        <f ca="1">-Diam_propu/2</f>
        <v>-12</v>
      </c>
      <c r="E170" s="93"/>
      <c r="K170" s="46"/>
    </row>
    <row r="171" spans="2:11" x14ac:dyDescent="0.2">
      <c r="B171" s="185" t="s">
        <v>95</v>
      </c>
      <c r="C171" s="46">
        <f ca="1">-XpropuRef+Long_propu</f>
        <v>-714</v>
      </c>
      <c r="D171" s="208">
        <f ca="1">Diam_propu/2</f>
        <v>12</v>
      </c>
      <c r="E171" s="93"/>
      <c r="K171" s="46"/>
    </row>
    <row r="172" spans="2:11" x14ac:dyDescent="0.2">
      <c r="B172" s="185" t="s">
        <v>96</v>
      </c>
      <c r="C172" s="46">
        <f>-XpropuRef</f>
        <v>-942</v>
      </c>
      <c r="D172" s="208">
        <f ca="1">Diam_propu/2</f>
        <v>12</v>
      </c>
      <c r="E172" s="93"/>
      <c r="K172" s="46"/>
    </row>
    <row r="173" spans="2:11" x14ac:dyDescent="0.2">
      <c r="B173" s="185" t="s">
        <v>97</v>
      </c>
      <c r="C173" s="46">
        <f>-XpropuRef</f>
        <v>-942</v>
      </c>
      <c r="D173" s="208">
        <f ca="1">-Diam_propu/2</f>
        <v>-12</v>
      </c>
      <c r="E173" s="93"/>
      <c r="K173" s="46"/>
    </row>
    <row r="174" spans="2:11" x14ac:dyDescent="0.2">
      <c r="B174" s="187" t="s">
        <v>98</v>
      </c>
      <c r="C174" s="200">
        <f ca="1">-XpropuRef+Long_propu</f>
        <v>-714</v>
      </c>
      <c r="D174" s="209">
        <f ca="1">-Diam_propu/2</f>
        <v>-12</v>
      </c>
      <c r="E174" s="93"/>
      <c r="F174" s="192" t="s">
        <v>159</v>
      </c>
      <c r="G174" s="193" t="s">
        <v>160</v>
      </c>
      <c r="H174" s="194" t="s">
        <v>161</v>
      </c>
      <c r="K174" s="46"/>
    </row>
    <row r="175" spans="2:11" x14ac:dyDescent="0.2">
      <c r="B175" s="183" t="s">
        <v>71</v>
      </c>
      <c r="C175" s="197">
        <v>0</v>
      </c>
      <c r="D175" s="197">
        <v>0</v>
      </c>
      <c r="E175" s="198">
        <f t="shared" ref="E175:E180" si="2">-D175</f>
        <v>0</v>
      </c>
      <c r="F175" s="195">
        <v>0</v>
      </c>
      <c r="G175" s="45">
        <v>0</v>
      </c>
      <c r="H175" s="189">
        <v>0</v>
      </c>
      <c r="K175" s="46"/>
    </row>
    <row r="176" spans="2:11" x14ac:dyDescent="0.2">
      <c r="B176" s="185" t="s">
        <v>72</v>
      </c>
      <c r="C176" s="46">
        <f>-Long_ogive*0.1</f>
        <v>-25.200000000000003</v>
      </c>
      <c r="D176" s="46">
        <f>IF(LEFT(Forme_ogive,5)="Parab",H176,IF(LEFT(Forme_ogive,4)="Ogiv",G176,IF(LEFT(Forme_ogive,3)="Con",F176)))</f>
        <v>4.2</v>
      </c>
      <c r="E176" s="199">
        <f t="shared" si="2"/>
        <v>-4.2</v>
      </c>
      <c r="F176" s="185">
        <f>D_og/2*0.1</f>
        <v>4.2</v>
      </c>
      <c r="G176" s="45">
        <f>D_og/2*0.2</f>
        <v>8.4</v>
      </c>
      <c r="H176" s="189">
        <f>D_og/2*0.5</f>
        <v>21</v>
      </c>
      <c r="K176" s="46"/>
    </row>
    <row r="177" spans="2:11" x14ac:dyDescent="0.2">
      <c r="B177" s="185" t="s">
        <v>72</v>
      </c>
      <c r="C177" s="46">
        <f>-Long_ogive/4</f>
        <v>-63</v>
      </c>
      <c r="D177" s="46">
        <f>IF(LEFT(Forme_ogive,5)="Parab",H177,IF(LEFT(Forme_ogive,4)="Ogiv",G177,IF(LEFT(Forme_ogive,3)="Con",F177)))</f>
        <v>10.5</v>
      </c>
      <c r="E177" s="199">
        <f t="shared" si="2"/>
        <v>-10.5</v>
      </c>
      <c r="F177" s="185">
        <f>D_og/2*1/4</f>
        <v>10.5</v>
      </c>
      <c r="G177" s="45">
        <f>D_og/2/2</f>
        <v>21</v>
      </c>
      <c r="H177" s="189">
        <f>D_og/2*0.7</f>
        <v>29.4</v>
      </c>
      <c r="K177" s="46"/>
    </row>
    <row r="178" spans="2:11" x14ac:dyDescent="0.2">
      <c r="B178" s="185" t="s">
        <v>72</v>
      </c>
      <c r="C178" s="46">
        <f>-Long_ogive/2</f>
        <v>-126</v>
      </c>
      <c r="D178" s="46">
        <f>IF(LEFT(Forme_ogive,5)="Parab",H178,IF(LEFT(Forme_ogive,4)="Ogiv",G178,IF(LEFT(Forme_ogive,3)="Con",F178)))</f>
        <v>21</v>
      </c>
      <c r="E178" s="199">
        <f t="shared" si="2"/>
        <v>-21</v>
      </c>
      <c r="F178" s="185">
        <f>D_og/2/2</f>
        <v>21</v>
      </c>
      <c r="G178" s="45">
        <f>D_og/2*3/4</f>
        <v>31.5</v>
      </c>
      <c r="H178" s="189">
        <f>D_og/2*0.88</f>
        <v>36.96</v>
      </c>
      <c r="K178" s="46"/>
    </row>
    <row r="179" spans="2:11" x14ac:dyDescent="0.2">
      <c r="B179" s="185" t="s">
        <v>72</v>
      </c>
      <c r="C179" s="46">
        <f>-Long_ogive*3/4</f>
        <v>-189</v>
      </c>
      <c r="D179" s="46">
        <f>IF(LEFT(Forme_ogive,5)="Parab",H179,IF(LEFT(Forme_ogive,4)="Ogiv",G179,IF(LEFT(Forme_ogive,3)="Con",F179)))</f>
        <v>31.5</v>
      </c>
      <c r="E179" s="199">
        <f t="shared" si="2"/>
        <v>-31.5</v>
      </c>
      <c r="F179" s="185">
        <f>D_og/2*3/4</f>
        <v>31.5</v>
      </c>
      <c r="G179" s="45">
        <f>D_og/2*0.9</f>
        <v>37.800000000000004</v>
      </c>
      <c r="H179" s="189">
        <f>D_og/2*0.95</f>
        <v>39.9</v>
      </c>
      <c r="K179" s="46"/>
    </row>
    <row r="180" spans="2:11" x14ac:dyDescent="0.2">
      <c r="B180" s="187" t="s">
        <v>72</v>
      </c>
      <c r="C180" s="200">
        <f>-Long_ogive</f>
        <v>-252</v>
      </c>
      <c r="D180" s="200">
        <f>D_og/2</f>
        <v>42</v>
      </c>
      <c r="E180" s="201">
        <f t="shared" si="2"/>
        <v>-42</v>
      </c>
      <c r="F180" s="187">
        <f>D_og/2</f>
        <v>42</v>
      </c>
      <c r="G180" s="196">
        <f>D_og/2</f>
        <v>42</v>
      </c>
      <c r="H180" s="190">
        <f>D_og/2</f>
        <v>42</v>
      </c>
      <c r="K180" s="26"/>
    </row>
    <row r="181" spans="2:11" x14ac:dyDescent="0.2">
      <c r="B181" s="45" t="s">
        <v>99</v>
      </c>
      <c r="C181" s="45" t="s">
        <v>100</v>
      </c>
      <c r="D181" s="183" t="s">
        <v>99</v>
      </c>
      <c r="E181" s="204" t="s">
        <v>100</v>
      </c>
      <c r="K181" s="45"/>
    </row>
    <row r="182" spans="2:11" x14ac:dyDescent="0.2">
      <c r="B182" s="183">
        <v>0</v>
      </c>
      <c r="C182" s="202">
        <f>CritCnmin</f>
        <v>15</v>
      </c>
      <c r="D182" s="185">
        <v>0.5</v>
      </c>
      <c r="E182" s="205">
        <f t="shared" ref="E182:E187" si="3">CritMsCnmin/D182</f>
        <v>60</v>
      </c>
      <c r="K182" s="45"/>
    </row>
    <row r="183" spans="2:11" x14ac:dyDescent="0.2">
      <c r="B183" s="187">
        <v>7</v>
      </c>
      <c r="C183" s="196">
        <f>CritCnmin</f>
        <v>15</v>
      </c>
      <c r="D183" s="185">
        <v>1</v>
      </c>
      <c r="E183" s="205">
        <f t="shared" si="3"/>
        <v>30</v>
      </c>
      <c r="K183" s="45"/>
    </row>
    <row r="184" spans="2:11" x14ac:dyDescent="0.2">
      <c r="B184" s="183">
        <v>0</v>
      </c>
      <c r="C184" s="202">
        <f>CritCnmax</f>
        <v>30</v>
      </c>
      <c r="D184" s="185">
        <v>2</v>
      </c>
      <c r="E184" s="205">
        <f t="shared" si="3"/>
        <v>15</v>
      </c>
      <c r="K184" s="45"/>
    </row>
    <row r="185" spans="2:11" x14ac:dyDescent="0.2">
      <c r="B185" s="187">
        <v>7</v>
      </c>
      <c r="C185" s="196">
        <f>CritCnmax</f>
        <v>30</v>
      </c>
      <c r="D185" s="185">
        <v>3</v>
      </c>
      <c r="E185" s="205">
        <f t="shared" si="3"/>
        <v>10</v>
      </c>
      <c r="K185" s="45"/>
    </row>
    <row r="186" spans="2:11" x14ac:dyDescent="0.2">
      <c r="B186" s="183">
        <f>CritMsmin</f>
        <v>1.5</v>
      </c>
      <c r="C186" s="202">
        <v>0</v>
      </c>
      <c r="D186" s="185">
        <v>5</v>
      </c>
      <c r="E186" s="205">
        <f t="shared" si="3"/>
        <v>6</v>
      </c>
      <c r="K186" s="45"/>
    </row>
    <row r="187" spans="2:11" x14ac:dyDescent="0.2">
      <c r="B187" s="187">
        <f>CritMsmin</f>
        <v>1.5</v>
      </c>
      <c r="C187" s="196">
        <v>55</v>
      </c>
      <c r="D187" s="185">
        <v>7</v>
      </c>
      <c r="E187" s="205">
        <f t="shared" si="3"/>
        <v>4.2857142857142856</v>
      </c>
      <c r="K187" s="45"/>
    </row>
    <row r="188" spans="2:11" x14ac:dyDescent="0.2">
      <c r="B188" s="183">
        <f>CritMsmax</f>
        <v>6</v>
      </c>
      <c r="C188" s="202">
        <v>0</v>
      </c>
      <c r="D188" s="185">
        <v>1</v>
      </c>
      <c r="E188" s="205">
        <f t="shared" ref="E188:E193" si="4">CritMsCnmax/D188</f>
        <v>100</v>
      </c>
      <c r="K188" s="45"/>
    </row>
    <row r="189" spans="2:11" x14ac:dyDescent="0.2">
      <c r="B189" s="187">
        <f>CritMsmax</f>
        <v>6</v>
      </c>
      <c r="C189" s="196">
        <v>55</v>
      </c>
      <c r="D189" s="185">
        <v>2</v>
      </c>
      <c r="E189" s="205">
        <f t="shared" si="4"/>
        <v>50</v>
      </c>
      <c r="K189" s="45"/>
    </row>
    <row r="190" spans="2:11" x14ac:dyDescent="0.2">
      <c r="B190" s="191">
        <f ca="1">MS_min</f>
        <v>2.6598770163626191</v>
      </c>
      <c r="C190" s="203">
        <f>Cn</f>
        <v>15.602161052846441</v>
      </c>
      <c r="D190" s="185">
        <v>3</v>
      </c>
      <c r="E190" s="205">
        <f t="shared" si="4"/>
        <v>33.333333333333336</v>
      </c>
      <c r="K190" s="45"/>
    </row>
    <row r="191" spans="2:11" x14ac:dyDescent="0.2">
      <c r="B191" s="512">
        <f ca="1">(XCp0-XcgPlein)/D_ref</f>
        <v>2.6598770163626191</v>
      </c>
      <c r="C191" s="513">
        <f>Cn0</f>
        <v>15.602161052846441</v>
      </c>
      <c r="D191" s="185">
        <v>4</v>
      </c>
      <c r="E191" s="205">
        <f t="shared" si="4"/>
        <v>25</v>
      </c>
      <c r="K191" s="45"/>
    </row>
    <row r="192" spans="2:11" x14ac:dyDescent="0.2">
      <c r="B192" s="512">
        <f ca="1">(XCp0-XcgVide)/D_ref</f>
        <v>2.7451862629500878</v>
      </c>
      <c r="C192" s="513">
        <f>Cn0</f>
        <v>15.602161052846441</v>
      </c>
      <c r="D192" s="185">
        <v>6</v>
      </c>
      <c r="E192" s="205">
        <f t="shared" si="4"/>
        <v>16.666666666666668</v>
      </c>
      <c r="K192" s="45"/>
    </row>
    <row r="193" spans="2:11" x14ac:dyDescent="0.2">
      <c r="B193" s="512">
        <f ca="1">(XCp-XcgVide)/D_ref</f>
        <v>2.7451862629500878</v>
      </c>
      <c r="C193" s="513">
        <f>Cn</f>
        <v>15.602161052846441</v>
      </c>
      <c r="D193" s="187">
        <v>7</v>
      </c>
      <c r="E193" s="206">
        <f t="shared" si="4"/>
        <v>14.285714285714286</v>
      </c>
      <c r="K193" s="45"/>
    </row>
    <row r="194" spans="2:11" x14ac:dyDescent="0.2">
      <c r="B194" s="512">
        <f ca="1">MS_min</f>
        <v>2.6598770163626191</v>
      </c>
      <c r="C194" s="514">
        <f>Cn</f>
        <v>15.602161052846441</v>
      </c>
      <c r="D194" s="45"/>
      <c r="E194" s="92"/>
      <c r="K194" s="45"/>
    </row>
    <row r="195" spans="2:11" x14ac:dyDescent="0.2">
      <c r="B195" s="183">
        <v>0</v>
      </c>
      <c r="C195" s="202">
        <f>(CritCnmin+CritCnmax)/2</f>
        <v>22.5</v>
      </c>
      <c r="D195" s="26"/>
      <c r="E195" s="90"/>
      <c r="K195" s="26"/>
    </row>
    <row r="196" spans="2:11" x14ac:dyDescent="0.2">
      <c r="B196" s="185">
        <f>MAX(CritMsmin,CritMsCnmin/C196)</f>
        <v>1.5</v>
      </c>
      <c r="C196" s="45">
        <f>(CritCnmin+CritCnmax)/2</f>
        <v>22.5</v>
      </c>
      <c r="D196" s="26"/>
      <c r="E196" s="90"/>
      <c r="K196" s="26"/>
    </row>
    <row r="197" spans="2:11" x14ac:dyDescent="0.2">
      <c r="B197" s="185">
        <f>MIN(CritMsmax,CritMsCnmax/C197)</f>
        <v>4.4444444444444446</v>
      </c>
      <c r="C197" s="189">
        <f>(CritCnmin+CritCnmax)/2</f>
        <v>22.5</v>
      </c>
    </row>
    <row r="198" spans="2:11" x14ac:dyDescent="0.2">
      <c r="B198" s="187">
        <v>7</v>
      </c>
      <c r="C198" s="190">
        <f>(CritCnmin+CritCnmax)/2</f>
        <v>22.5</v>
      </c>
    </row>
    <row r="199" spans="2:11" x14ac:dyDescent="0.2">
      <c r="B199" s="183">
        <f>(CritMsmin+CritMsmax)/2</f>
        <v>3.75</v>
      </c>
      <c r="C199" s="184">
        <v>0</v>
      </c>
    </row>
    <row r="200" spans="2:11" x14ac:dyDescent="0.2">
      <c r="B200" s="185">
        <f>(CritMsmin+CritMsmax)/2</f>
        <v>3.75</v>
      </c>
      <c r="C200" s="186">
        <f>MAX(CritCnmin,CritMsCnmin/B200)</f>
        <v>15</v>
      </c>
    </row>
    <row r="201" spans="2:11" x14ac:dyDescent="0.2">
      <c r="B201" s="185">
        <f>(CritMsmin+CritMsmax)/2</f>
        <v>3.75</v>
      </c>
      <c r="C201" s="186">
        <f>MIN(CritCnmax,CritMsCnmax/B201)</f>
        <v>26.666666666666668</v>
      </c>
    </row>
    <row r="202" spans="2:11" x14ac:dyDescent="0.2">
      <c r="B202" s="187">
        <f>(CritMsmin+CritMsmax)/2</f>
        <v>3.75</v>
      </c>
      <c r="C202" s="188">
        <v>55</v>
      </c>
    </row>
    <row r="203" spans="2:11" x14ac:dyDescent="0.2">
      <c r="D203" s="474"/>
    </row>
    <row r="204" spans="2:11" x14ac:dyDescent="0.2">
      <c r="B204" s="476" t="s">
        <v>405</v>
      </c>
      <c r="C204" s="31" t="b">
        <f ca="1">(OR(C205:C210))</f>
        <v>1</v>
      </c>
      <c r="D204" s="474"/>
    </row>
    <row r="205" spans="2:11" x14ac:dyDescent="0.2">
      <c r="B205" s="475" t="s">
        <v>402</v>
      </c>
      <c r="C205" s="474" t="b">
        <f ca="1">AND(Type_propu="H2O",RIGHT(Type_fusee,1)=" ")</f>
        <v>0</v>
      </c>
      <c r="D205" s="474"/>
    </row>
    <row r="206" spans="2:11" x14ac:dyDescent="0.2">
      <c r="B206" s="475" t="s">
        <v>118</v>
      </c>
      <c r="C206" s="474" t="b">
        <f ca="1">AND(Type_propu="Fusex",RIGHT(Type_fusee,1)=".")</f>
        <v>0</v>
      </c>
      <c r="D206" s="474"/>
    </row>
    <row r="207" spans="2:11" x14ac:dyDescent="0.2">
      <c r="B207" s="475" t="s">
        <v>403</v>
      </c>
      <c r="C207" s="474" t="b">
        <f ca="1">LEFT(Type_propu,5)=LEFT(Type_fusee,5)</f>
        <v>0</v>
      </c>
      <c r="D207" s="474"/>
    </row>
    <row r="208" spans="2:11" x14ac:dyDescent="0.2">
      <c r="B208" s="475" t="s">
        <v>404</v>
      </c>
      <c r="C208" s="474" t="b">
        <f ca="1">AND(RIGHT(Type_propu,1)="N",LEFT(Type_fusee,4)="Mini")</f>
        <v>0</v>
      </c>
      <c r="D208" s="474"/>
    </row>
    <row r="209" spans="1:3" x14ac:dyDescent="0.2">
      <c r="B209" s="475" t="s">
        <v>406</v>
      </c>
      <c r="C209" s="474" t="b">
        <f ca="1">AND(LEFT(Type_propu,5)="MiniR",LEFT(Type_fusee,1)="R")</f>
        <v>0</v>
      </c>
    </row>
    <row r="210" spans="1:3" x14ac:dyDescent="0.2">
      <c r="B210" s="475" t="s">
        <v>396</v>
      </c>
      <c r="C210" s="474" t="b">
        <f ca="1">AND(LEFT(Type_propu,4)="Mini",LEFT(Type_fusee,1)=",")</f>
        <v>1</v>
      </c>
    </row>
    <row r="223" spans="1:3" x14ac:dyDescent="0.2">
      <c r="A223" s="24" t="s">
        <v>463</v>
      </c>
    </row>
    <row r="226" spans="1:1" x14ac:dyDescent="0.2">
      <c r="A226" s="24" t="s">
        <v>476</v>
      </c>
    </row>
    <row r="228" spans="1:1" x14ac:dyDescent="0.2">
      <c r="A228" s="24" t="s">
        <v>477</v>
      </c>
    </row>
    <row r="230" spans="1:1" x14ac:dyDescent="0.2">
      <c r="A230" s="24" t="s">
        <v>478</v>
      </c>
    </row>
    <row r="232" spans="1:1" x14ac:dyDescent="0.2">
      <c r="A232" s="24" t="s">
        <v>479</v>
      </c>
    </row>
    <row r="233" spans="1:1" x14ac:dyDescent="0.2">
      <c r="A233" s="24" t="s">
        <v>480</v>
      </c>
    </row>
    <row r="234" spans="1:1" x14ac:dyDescent="0.2">
      <c r="A234" s="24" t="s">
        <v>481</v>
      </c>
    </row>
    <row r="235" spans="1:1" x14ac:dyDescent="0.2">
      <c r="A235" s="24" t="s">
        <v>482</v>
      </c>
    </row>
    <row r="236" spans="1:1" x14ac:dyDescent="0.2">
      <c r="A236" s="24" t="s">
        <v>483</v>
      </c>
    </row>
    <row r="237" spans="1:1" x14ac:dyDescent="0.2">
      <c r="A237" s="24" t="s">
        <v>484</v>
      </c>
    </row>
    <row r="238" spans="1:1" x14ac:dyDescent="0.2">
      <c r="A238" s="24" t="s">
        <v>183</v>
      </c>
    </row>
    <row r="239" spans="1:1" x14ac:dyDescent="0.2">
      <c r="A239" s="24" t="s">
        <v>485</v>
      </c>
    </row>
    <row r="240" spans="1:1" x14ac:dyDescent="0.2">
      <c r="A240" s="24" t="s">
        <v>486</v>
      </c>
    </row>
    <row r="241" spans="1:1" x14ac:dyDescent="0.2">
      <c r="A241" s="24" t="s">
        <v>183</v>
      </c>
    </row>
    <row r="242" spans="1:1" x14ac:dyDescent="0.2">
      <c r="A242" s="24" t="s">
        <v>487</v>
      </c>
    </row>
    <row r="244" spans="1:1" x14ac:dyDescent="0.2">
      <c r="A244" s="24" t="s">
        <v>488</v>
      </c>
    </row>
    <row r="246" spans="1:1" x14ac:dyDescent="0.2">
      <c r="A246" s="24" t="s">
        <v>489</v>
      </c>
    </row>
    <row r="248" spans="1:1" x14ac:dyDescent="0.2">
      <c r="A248" s="24" t="s">
        <v>490</v>
      </c>
    </row>
    <row r="249" spans="1:1" x14ac:dyDescent="0.2">
      <c r="A249" s="24" t="s">
        <v>491</v>
      </c>
    </row>
    <row r="250" spans="1:1" x14ac:dyDescent="0.2">
      <c r="A250" s="24" t="s">
        <v>492</v>
      </c>
    </row>
    <row r="251" spans="1:1" x14ac:dyDescent="0.2">
      <c r="A251" s="24" t="s">
        <v>493</v>
      </c>
    </row>
    <row r="252" spans="1:1" x14ac:dyDescent="0.2">
      <c r="A252" s="24" t="s">
        <v>494</v>
      </c>
    </row>
    <row r="254" spans="1:1" x14ac:dyDescent="0.2">
      <c r="A254" s="24" t="s">
        <v>495</v>
      </c>
    </row>
    <row r="255" spans="1:1" x14ac:dyDescent="0.2">
      <c r="A255" s="24" t="s">
        <v>496</v>
      </c>
    </row>
    <row r="256" spans="1:1" x14ac:dyDescent="0.2">
      <c r="A256" s="24" t="s">
        <v>497</v>
      </c>
    </row>
    <row r="257" spans="1:1" x14ac:dyDescent="0.2">
      <c r="A257" s="24" t="s">
        <v>498</v>
      </c>
    </row>
    <row r="258" spans="1:1" x14ac:dyDescent="0.2">
      <c r="A258" s="24" t="s">
        <v>499</v>
      </c>
    </row>
    <row r="261" spans="1:1" x14ac:dyDescent="0.2">
      <c r="A261" s="24" t="s">
        <v>500</v>
      </c>
    </row>
    <row r="262" spans="1:1" x14ac:dyDescent="0.2">
      <c r="A262" s="24" t="s">
        <v>501</v>
      </c>
    </row>
    <row r="263" spans="1:1" x14ac:dyDescent="0.2">
      <c r="A263" s="24" t="s">
        <v>502</v>
      </c>
    </row>
    <row r="264" spans="1:1" x14ac:dyDescent="0.2">
      <c r="A264" s="24" t="s">
        <v>503</v>
      </c>
    </row>
    <row r="265" spans="1:1" x14ac:dyDescent="0.2">
      <c r="A265" s="24" t="s">
        <v>504</v>
      </c>
    </row>
    <row r="267" spans="1:1" x14ac:dyDescent="0.2">
      <c r="A267" s="24" t="s">
        <v>497</v>
      </c>
    </row>
    <row r="268" spans="1:1" x14ac:dyDescent="0.2">
      <c r="A268" s="24" t="s">
        <v>498</v>
      </c>
    </row>
    <row r="269" spans="1:1" x14ac:dyDescent="0.2">
      <c r="A269" s="24" t="s">
        <v>505</v>
      </c>
    </row>
    <row r="272" spans="1:1" x14ac:dyDescent="0.2">
      <c r="A272" s="24" t="s">
        <v>465</v>
      </c>
    </row>
    <row r="273" spans="1:1" x14ac:dyDescent="0.2">
      <c r="A273" s="24" t="s">
        <v>466</v>
      </c>
    </row>
    <row r="275" spans="1:1" x14ac:dyDescent="0.2">
      <c r="A275" s="24" t="s">
        <v>506</v>
      </c>
    </row>
    <row r="277" spans="1:1" x14ac:dyDescent="0.2">
      <c r="A277" s="24" t="s">
        <v>505</v>
      </c>
    </row>
    <row r="280" spans="1:1" x14ac:dyDescent="0.2">
      <c r="A280" s="24" t="s">
        <v>467</v>
      </c>
    </row>
    <row r="281" spans="1:1" x14ac:dyDescent="0.2">
      <c r="A281" s="24" t="s">
        <v>468</v>
      </c>
    </row>
    <row r="282" spans="1:1" x14ac:dyDescent="0.2">
      <c r="A282" s="24" t="s">
        <v>507</v>
      </c>
    </row>
    <row r="283" spans="1:1" x14ac:dyDescent="0.2">
      <c r="A283" s="24" t="s">
        <v>508</v>
      </c>
    </row>
    <row r="284" spans="1:1" x14ac:dyDescent="0.2">
      <c r="A284" s="24" t="s">
        <v>505</v>
      </c>
    </row>
    <row r="285" spans="1:1" x14ac:dyDescent="0.2">
      <c r="A285" s="24" t="s">
        <v>469</v>
      </c>
    </row>
    <row r="287" spans="1:1" x14ac:dyDescent="0.2">
      <c r="A287" s="24" t="s">
        <v>509</v>
      </c>
    </row>
    <row r="288" spans="1:1" x14ac:dyDescent="0.2">
      <c r="A288" s="24" t="s">
        <v>507</v>
      </c>
    </row>
    <row r="289" spans="1:1" x14ac:dyDescent="0.2">
      <c r="A289" s="24" t="s">
        <v>510</v>
      </c>
    </row>
    <row r="291" spans="1:1" x14ac:dyDescent="0.2">
      <c r="A291" s="24" t="s">
        <v>505</v>
      </c>
    </row>
    <row r="294" spans="1:1" x14ac:dyDescent="0.2">
      <c r="A294" s="24" t="s">
        <v>511</v>
      </c>
    </row>
    <row r="295" spans="1:1" x14ac:dyDescent="0.2">
      <c r="A295" s="24" t="s">
        <v>512</v>
      </c>
    </row>
    <row r="296" spans="1:1" x14ac:dyDescent="0.2">
      <c r="A296" s="24" t="s">
        <v>513</v>
      </c>
    </row>
    <row r="298" spans="1:1" x14ac:dyDescent="0.2">
      <c r="A298" s="24" t="s">
        <v>505</v>
      </c>
    </row>
    <row r="301" spans="1:1" x14ac:dyDescent="0.2">
      <c r="A301" s="24" t="s">
        <v>514</v>
      </c>
    </row>
    <row r="302" spans="1:1" x14ac:dyDescent="0.2">
      <c r="A302" s="24" t="s">
        <v>515</v>
      </c>
    </row>
    <row r="304" spans="1:1" x14ac:dyDescent="0.2">
      <c r="A304" s="24" t="s">
        <v>516</v>
      </c>
    </row>
    <row r="305" spans="1:1" x14ac:dyDescent="0.2">
      <c r="A305" s="24" t="s">
        <v>517</v>
      </c>
    </row>
    <row r="306" spans="1:1" x14ac:dyDescent="0.2">
      <c r="A306" s="24" t="s">
        <v>505</v>
      </c>
    </row>
    <row r="309" spans="1:1" x14ac:dyDescent="0.2">
      <c r="A309" s="24" t="s">
        <v>514</v>
      </c>
    </row>
    <row r="310" spans="1:1" x14ac:dyDescent="0.2">
      <c r="A310" s="24" t="s">
        <v>518</v>
      </c>
    </row>
    <row r="311" spans="1:1" x14ac:dyDescent="0.2">
      <c r="A311" s="24" t="s">
        <v>514</v>
      </c>
    </row>
    <row r="312" spans="1:1" x14ac:dyDescent="0.2">
      <c r="A312" s="24" t="s">
        <v>519</v>
      </c>
    </row>
    <row r="314" spans="1:1" x14ac:dyDescent="0.2">
      <c r="A314" s="24" t="s">
        <v>520</v>
      </c>
    </row>
    <row r="316" spans="1:1" x14ac:dyDescent="0.2">
      <c r="A316" s="24" t="s">
        <v>505</v>
      </c>
    </row>
    <row r="319" spans="1:1" x14ac:dyDescent="0.2">
      <c r="A319" s="24" t="s">
        <v>514</v>
      </c>
    </row>
    <row r="320" spans="1:1" x14ac:dyDescent="0.2">
      <c r="A320" s="24" t="s">
        <v>521</v>
      </c>
    </row>
    <row r="321" spans="1:1" x14ac:dyDescent="0.2">
      <c r="A321" s="24" t="s">
        <v>522</v>
      </c>
    </row>
    <row r="322" spans="1:1" x14ac:dyDescent="0.2">
      <c r="A322" s="24" t="s">
        <v>523</v>
      </c>
    </row>
    <row r="324" spans="1:1" x14ac:dyDescent="0.2">
      <c r="A324" s="24" t="s">
        <v>505</v>
      </c>
    </row>
    <row r="326" spans="1:1" x14ac:dyDescent="0.2">
      <c r="A326" s="24" t="s">
        <v>464</v>
      </c>
    </row>
    <row r="329" spans="1:1" x14ac:dyDescent="0.2">
      <c r="A329" s="24" t="s">
        <v>470</v>
      </c>
    </row>
    <row r="330" spans="1:1" x14ac:dyDescent="0.2">
      <c r="A330" s="24" t="s">
        <v>471</v>
      </c>
    </row>
    <row r="331" spans="1:1" x14ac:dyDescent="0.2">
      <c r="A331" s="24" t="s">
        <v>524</v>
      </c>
    </row>
    <row r="332" spans="1:1" x14ac:dyDescent="0.2">
      <c r="A332" s="24" t="s">
        <v>525</v>
      </c>
    </row>
    <row r="333" spans="1:1" x14ac:dyDescent="0.2">
      <c r="A333" s="24" t="s">
        <v>526</v>
      </c>
    </row>
    <row r="334" spans="1:1" x14ac:dyDescent="0.2">
      <c r="A334" s="24" t="s">
        <v>527</v>
      </c>
    </row>
    <row r="335" spans="1:1" x14ac:dyDescent="0.2">
      <c r="A335" s="24" t="s">
        <v>528</v>
      </c>
    </row>
    <row r="336" spans="1:1" x14ac:dyDescent="0.2">
      <c r="A336" s="24" t="s">
        <v>481</v>
      </c>
    </row>
    <row r="337" spans="1:1" x14ac:dyDescent="0.2">
      <c r="A337" s="24" t="s">
        <v>472</v>
      </c>
    </row>
    <row r="340" spans="1:1" x14ac:dyDescent="0.2">
      <c r="A340" s="24" t="s">
        <v>473</v>
      </c>
    </row>
    <row r="342" spans="1:1" x14ac:dyDescent="0.2">
      <c r="A342" s="24" t="s">
        <v>529</v>
      </c>
    </row>
    <row r="343" spans="1:1" x14ac:dyDescent="0.2">
      <c r="A343" s="24" t="s">
        <v>530</v>
      </c>
    </row>
    <row r="344" spans="1:1" x14ac:dyDescent="0.2">
      <c r="A344" s="24" t="s">
        <v>531</v>
      </c>
    </row>
    <row r="345" spans="1:1" x14ac:dyDescent="0.2">
      <c r="A345" s="24" t="s">
        <v>532</v>
      </c>
    </row>
    <row r="346" spans="1:1" x14ac:dyDescent="0.2">
      <c r="A346" s="24" t="s">
        <v>533</v>
      </c>
    </row>
    <row r="347" spans="1:1" x14ac:dyDescent="0.2">
      <c r="A347" s="24" t="s">
        <v>481</v>
      </c>
    </row>
    <row r="348" spans="1:1" x14ac:dyDescent="0.2">
      <c r="A348" s="24" t="s">
        <v>474</v>
      </c>
    </row>
    <row r="349" spans="1:1" x14ac:dyDescent="0.2">
      <c r="A349" s="24" t="s">
        <v>534</v>
      </c>
    </row>
    <row r="350" spans="1:1" x14ac:dyDescent="0.2">
      <c r="A350" s="24" t="s">
        <v>535</v>
      </c>
    </row>
    <row r="352" spans="1:1" x14ac:dyDescent="0.2">
      <c r="A352" s="24" t="s">
        <v>505</v>
      </c>
    </row>
    <row r="355" spans="1:1" x14ac:dyDescent="0.2">
      <c r="A355" s="24" t="s">
        <v>464</v>
      </c>
    </row>
    <row r="361" spans="1:1" x14ac:dyDescent="0.2">
      <c r="A361" s="24" t="s">
        <v>475</v>
      </c>
    </row>
  </sheetData>
  <dataConsolidate/>
  <mergeCells count="56">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 ref="C27:D27"/>
    <mergeCell ref="C19:D19"/>
    <mergeCell ref="C20:D20"/>
    <mergeCell ref="O23:P23"/>
    <mergeCell ref="O24:P24"/>
    <mergeCell ref="C23:D23"/>
    <mergeCell ref="C22:D22"/>
    <mergeCell ref="C24:D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00000000-0002-0000-0000-000006000000}">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D35"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752475</xdr:colOff>
                    <xdr:row>22</xdr:row>
                    <xdr:rowOff>0</xdr:rowOff>
                  </from>
                  <to>
                    <xdr:col>3</xdr:col>
                    <xdr:colOff>895350</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752475</xdr:colOff>
                    <xdr:row>11</xdr:row>
                    <xdr:rowOff>0</xdr:rowOff>
                  </from>
                  <to>
                    <xdr:col>2</xdr:col>
                    <xdr:colOff>895350</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752475</xdr:colOff>
                    <xdr:row>12</xdr:row>
                    <xdr:rowOff>0</xdr:rowOff>
                  </from>
                  <to>
                    <xdr:col>2</xdr:col>
                    <xdr:colOff>895350</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752475</xdr:colOff>
                    <xdr:row>22</xdr:row>
                    <xdr:rowOff>161925</xdr:rowOff>
                  </from>
                  <to>
                    <xdr:col>3</xdr:col>
                    <xdr:colOff>895350</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752475</xdr:colOff>
                    <xdr:row>27</xdr:row>
                    <xdr:rowOff>0</xdr:rowOff>
                  </from>
                  <to>
                    <xdr:col>3</xdr:col>
                    <xdr:colOff>0</xdr:colOff>
                    <xdr:row>28</xdr:row>
                    <xdr:rowOff>9525</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752475</xdr:colOff>
                    <xdr:row>28</xdr:row>
                    <xdr:rowOff>0</xdr:rowOff>
                  </from>
                  <to>
                    <xdr:col>3</xdr:col>
                    <xdr:colOff>0</xdr:colOff>
                    <xdr:row>29</xdr:row>
                    <xdr:rowOff>9525</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752475</xdr:colOff>
                    <xdr:row>28</xdr:row>
                    <xdr:rowOff>161925</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752475</xdr:colOff>
                    <xdr:row>30</xdr:row>
                    <xdr:rowOff>0</xdr:rowOff>
                  </from>
                  <to>
                    <xdr:col>3</xdr:col>
                    <xdr:colOff>0</xdr:colOff>
                    <xdr:row>30</xdr:row>
                    <xdr:rowOff>161925</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752475</xdr:colOff>
                    <xdr:row>31</xdr:row>
                    <xdr:rowOff>0</xdr:rowOff>
                  </from>
                  <to>
                    <xdr:col>2</xdr:col>
                    <xdr:colOff>895350</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752475</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752475</xdr:colOff>
                    <xdr:row>12</xdr:row>
                    <xdr:rowOff>161925</xdr:rowOff>
                  </from>
                  <to>
                    <xdr:col>4</xdr:col>
                    <xdr:colOff>0</xdr:colOff>
                    <xdr:row>13</xdr:row>
                    <xdr:rowOff>161925</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zoomScaleNormal="100" workbookViewId="0">
      <selection activeCell="C28" sqref="C28"/>
    </sheetView>
  </sheetViews>
  <sheetFormatPr baseColWidth="10" defaultColWidth="11.42578125" defaultRowHeight="12.75" x14ac:dyDescent="0.2"/>
  <cols>
    <col min="1" max="1" width="2.140625" style="1" customWidth="1"/>
    <col min="2" max="2" width="16.140625" style="1" customWidth="1"/>
    <col min="3" max="4" width="12.85546875" style="1" customWidth="1"/>
    <col min="5" max="5" width="2.85546875" style="1" customWidth="1"/>
    <col min="6" max="7" width="12.85546875" style="1" customWidth="1"/>
    <col min="8" max="13" width="10.85546875" style="1" customWidth="1"/>
    <col min="14" max="15" width="2.140625" style="1" customWidth="1"/>
    <col min="16" max="17" width="14.140625" style="1" customWidth="1"/>
    <col min="18" max="16384" width="11.42578125" style="1"/>
  </cols>
  <sheetData>
    <row r="1" spans="1:14" x14ac:dyDescent="0.2">
      <c r="A1" s="51"/>
      <c r="B1" s="52"/>
      <c r="C1" s="53"/>
      <c r="D1" s="52"/>
      <c r="E1" s="54"/>
      <c r="F1" s="54"/>
      <c r="G1" s="54"/>
      <c r="H1" s="54"/>
      <c r="I1" s="54"/>
      <c r="J1" s="54"/>
      <c r="K1" s="54"/>
      <c r="L1" s="54"/>
      <c r="M1" s="54"/>
      <c r="N1" s="55"/>
    </row>
    <row r="2" spans="1:14" ht="12.75" customHeight="1" x14ac:dyDescent="0.2">
      <c r="A2" s="56"/>
      <c r="B2" s="2"/>
      <c r="C2" s="632" t="s">
        <v>0</v>
      </c>
      <c r="D2" s="632"/>
      <c r="F2" s="3"/>
      <c r="J2" s="4"/>
      <c r="N2" s="57"/>
    </row>
    <row r="3" spans="1:14" ht="12.75" customHeight="1" x14ac:dyDescent="0.2">
      <c r="A3" s="56"/>
      <c r="B3" s="2"/>
      <c r="C3" s="632"/>
      <c r="D3" s="632"/>
      <c r="H3" s="5"/>
      <c r="J3" s="4"/>
      <c r="N3" s="57"/>
    </row>
    <row r="4" spans="1:14" ht="12.75" customHeight="1" x14ac:dyDescent="0.2">
      <c r="A4" s="56"/>
      <c r="B4" s="2"/>
      <c r="C4" s="636" t="str">
        <f>IF(Lang="Français","Trajectographie de fusée",IF(Lang="English","Rocket Trajectography",""))</f>
        <v>Trajectographie de fusée</v>
      </c>
      <c r="D4" s="636"/>
      <c r="H4" s="5"/>
      <c r="J4" s="4"/>
      <c r="N4" s="57"/>
    </row>
    <row r="5" spans="1:14" ht="12.75" customHeight="1" x14ac:dyDescent="0.2">
      <c r="A5" s="56"/>
      <c r="B5" s="2"/>
      <c r="C5" s="631"/>
      <c r="D5" s="631"/>
      <c r="J5" s="4"/>
      <c r="N5" s="57"/>
    </row>
    <row r="6" spans="1:14" ht="12.95" customHeight="1" x14ac:dyDescent="0.2">
      <c r="A6" s="56"/>
      <c r="B6" s="87"/>
      <c r="C6" s="635" t="str">
        <f>IF(Lang="Français","Remplir les cases jaunes",IF(Lang="English","Fill-in yellow cells only",""))</f>
        <v>Remplir les cases jaunes</v>
      </c>
      <c r="D6" s="635"/>
      <c r="J6" s="4"/>
      <c r="N6" s="57"/>
    </row>
    <row r="7" spans="1:14" x14ac:dyDescent="0.2">
      <c r="A7" s="56"/>
      <c r="B7" s="6"/>
      <c r="C7" s="612" t="str">
        <f>IF(Lang="Français","Fusée",IF(Lang="English","Rocket",""))</f>
        <v>Fusée</v>
      </c>
      <c r="D7" s="612"/>
      <c r="N7" s="58"/>
    </row>
    <row r="8" spans="1:14" ht="12.75" customHeight="1" x14ac:dyDescent="0.25">
      <c r="A8" s="56"/>
      <c r="B8" s="140" t="str">
        <f>IF(Lang="Français","Nom",IF(Lang="English","Name",""))</f>
        <v>Nom</v>
      </c>
      <c r="C8" s="633" t="str">
        <f>Nom</f>
        <v>SP02-Alpha</v>
      </c>
      <c r="D8" s="633"/>
      <c r="E8" s="5"/>
      <c r="F8" s="5"/>
      <c r="J8" s="4"/>
      <c r="N8" s="57"/>
    </row>
    <row r="9" spans="1:14" ht="12.75" customHeight="1" x14ac:dyDescent="0.25">
      <c r="A9" s="59"/>
      <c r="B9" s="140" t="s">
        <v>4</v>
      </c>
      <c r="C9" s="634" t="str">
        <f>Club</f>
        <v>L'AéroIPSA</v>
      </c>
      <c r="D9" s="634"/>
      <c r="F9" s="5"/>
      <c r="N9" s="58"/>
    </row>
    <row r="10" spans="1:14" ht="12.75" customHeight="1" x14ac:dyDescent="0.25">
      <c r="A10" s="59"/>
      <c r="B10" s="141" t="s">
        <v>563</v>
      </c>
      <c r="C10" s="630" t="str">
        <f>Matricule</f>
        <v/>
      </c>
      <c r="D10" s="630"/>
      <c r="F10" s="5"/>
      <c r="N10" s="58"/>
    </row>
    <row r="11" spans="1:14" ht="12.75" customHeight="1" x14ac:dyDescent="0.2">
      <c r="A11" s="59"/>
      <c r="B11" s="140" t="str">
        <f>IF(Lang="Français","Masse totale",IF(Lang="English","Total Mass",""))</f>
        <v>Masse totale</v>
      </c>
      <c r="C11" s="607">
        <f ca="1">MassePlein</f>
        <v>3.0548999999999999</v>
      </c>
      <c r="D11" s="607"/>
      <c r="F11" s="5"/>
      <c r="N11" s="58"/>
    </row>
    <row r="12" spans="1:14" ht="12.75" customHeight="1" x14ac:dyDescent="0.2">
      <c r="A12" s="59"/>
      <c r="B12" s="227" t="str">
        <f>IF(Lang="Français","Propulseur",IF(Lang="English","Motor",""))</f>
        <v>Propulseur</v>
      </c>
      <c r="C12" s="610" t="str">
        <f>Propu</f>
        <v>Pandora (Pro24-6G BS)</v>
      </c>
      <c r="D12" s="611"/>
      <c r="F12" s="5"/>
      <c r="N12" s="58"/>
    </row>
    <row r="13" spans="1:14" ht="12.75" customHeight="1" x14ac:dyDescent="0.2">
      <c r="A13" s="59"/>
      <c r="N13" s="58"/>
    </row>
    <row r="14" spans="1:14" ht="12.75" customHeight="1" x14ac:dyDescent="0.2">
      <c r="A14" s="59"/>
      <c r="B14"/>
      <c r="C14" s="612" t="str">
        <f>IF(Lang="Français","Traînée Aérdynamique",IF(Lang="English","Drag",""))</f>
        <v>Traînée Aérdynamique</v>
      </c>
      <c r="D14" s="612"/>
      <c r="N14" s="58"/>
    </row>
    <row r="15" spans="1:14" ht="12.75" customHeight="1" x14ac:dyDescent="0.2">
      <c r="A15" s="59"/>
      <c r="B15" s="140" t="s">
        <v>40</v>
      </c>
      <c r="C15" s="613">
        <f>(PI()*D_ref^2/4+E_ail*ep_ail*Q_ail)/10^6</f>
        <v>6.8257694409323945E-3</v>
      </c>
      <c r="D15" s="613"/>
      <c r="N15" s="58"/>
    </row>
    <row r="16" spans="1:14" ht="12.75" customHeight="1" x14ac:dyDescent="0.2">
      <c r="A16" s="59"/>
      <c r="B16" s="141" t="s">
        <v>5</v>
      </c>
      <c r="C16" s="605">
        <v>0.6</v>
      </c>
      <c r="D16" s="606"/>
      <c r="N16" s="58"/>
    </row>
    <row r="17" spans="1:18" ht="12.75" customHeight="1" x14ac:dyDescent="0.2">
      <c r="A17" s="59"/>
      <c r="N17" s="58"/>
    </row>
    <row r="18" spans="1:18" ht="12.75" customHeight="1" x14ac:dyDescent="0.2">
      <c r="A18" s="59"/>
      <c r="B18"/>
      <c r="C18" s="612" t="str">
        <f>IF(Lang="Français","Rampe de Lancement",IF(Lang="English","Launch Pad",""))</f>
        <v>Rampe de Lancement</v>
      </c>
      <c r="D18" s="612"/>
      <c r="N18" s="58"/>
    </row>
    <row r="19" spans="1:18" ht="12.75" customHeight="1" x14ac:dyDescent="0.2">
      <c r="A19" s="59"/>
      <c r="B19" s="140" t="str">
        <f>IF(Lang="Français","Longueur",IF(Lang="English","Length",""))</f>
        <v>Longueur</v>
      </c>
      <c r="C19" s="609">
        <f>IF(RIGHT(Type_fusee,1)=".",4, IF(LEFT(Type_fusee,4)="Mini",2.5, IF(LEFT(Type_fusee,5)="Micro",1, IF(RIGHT(Type_fusee,1)=" ",0.1,IF(LEFT(Type_fusee,1)="R",3, 2.5)))))</f>
        <v>2.5</v>
      </c>
      <c r="D19" s="609"/>
      <c r="N19" s="58"/>
    </row>
    <row r="20" spans="1:18" ht="12.75" customHeight="1" x14ac:dyDescent="0.2">
      <c r="A20" s="59"/>
      <c r="B20" s="140" t="str">
        <f>IF(Lang="Français","Élévation",IF(Lang="English","Angle /horizon",""))</f>
        <v>Élévation</v>
      </c>
      <c r="C20" s="608">
        <v>77.775282912698117</v>
      </c>
      <c r="D20" s="608"/>
      <c r="N20" s="58"/>
    </row>
    <row r="21" spans="1:18" ht="12.75" customHeight="1" x14ac:dyDescent="0.2">
      <c r="A21" s="59"/>
      <c r="B21" s="140" t="s">
        <v>6</v>
      </c>
      <c r="C21" s="609">
        <v>0</v>
      </c>
      <c r="D21" s="609"/>
      <c r="N21" s="58"/>
    </row>
    <row r="22" spans="1:18" x14ac:dyDescent="0.2">
      <c r="A22" s="59"/>
      <c r="F22" s="384" t="e">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#N/A</v>
      </c>
      <c r="N22" s="58"/>
    </row>
    <row r="23" spans="1:18" x14ac:dyDescent="0.2">
      <c r="A23" s="59"/>
      <c r="C23" s="614" t="str">
        <f>IF(Lang="Français","DescenteSousParachute",IF(Lang="English","Over Parachute",""))</f>
        <v>DescenteSousParachute</v>
      </c>
      <c r="D23" s="615"/>
      <c r="F23" s="4"/>
      <c r="G23" s="50">
        <f ca="1">TODAY()</f>
        <v>45957</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421</v>
      </c>
      <c r="N23" s="58"/>
    </row>
    <row r="24" spans="1:18" x14ac:dyDescent="0.2">
      <c r="A24" s="59"/>
      <c r="B24"/>
      <c r="C24" s="142" t="str">
        <f>C7</f>
        <v>Fusée</v>
      </c>
      <c r="D24" s="220" t="s">
        <v>120</v>
      </c>
      <c r="E24" s="18" t="str">
        <f>IF(ABS(T_satellite-0.11-T_para)&lt;0.1,"Pb!","")</f>
        <v/>
      </c>
      <c r="F24" s="616" t="str">
        <f>IF(Lang="Français","Sortie de Rampe",IF(Lang="English","Launch-Pad Exit",""))</f>
        <v>Sortie de Rampe</v>
      </c>
      <c r="G24" s="617"/>
      <c r="H24" s="491"/>
      <c r="I24" s="491"/>
      <c r="J24" s="491"/>
      <c r="K24" s="492" t="e">
        <f ca="1">INDEX(vit_xz,MATCH("Sortie de rampe",Event,0))</f>
        <v>#N/A</v>
      </c>
      <c r="L24" s="493"/>
      <c r="M24" s="500"/>
      <c r="N24" s="58"/>
    </row>
    <row r="25" spans="1:18" x14ac:dyDescent="0.2">
      <c r="A25" s="59"/>
      <c r="B25" s="466" t="str">
        <f>IF(Lang="Français","Masse",IF(Lang="English","Mass",""))</f>
        <v>Masse</v>
      </c>
      <c r="C25" s="467">
        <f ca="1">IF(Nb_sat="0 satellite",MasseVide,MasseVide-m_satellite)</f>
        <v>2.9792999999999998</v>
      </c>
      <c r="D25" s="480">
        <f>IF(RIGHT(Type_fusee,1)=".",1,0.15)</f>
        <v>0.15</v>
      </c>
      <c r="F25" s="619" t="str">
        <f>IF(Lang="Français","Vit max &amp; Acc max",IF(Lang="English","Max Velocity &amp; Acc",""))</f>
        <v>Vit max &amp; Acc max</v>
      </c>
      <c r="G25" s="599"/>
      <c r="H25" s="115"/>
      <c r="I25" s="115"/>
      <c r="J25" s="115"/>
      <c r="K25" s="158">
        <f ca="1">MAX(vit_xz)</f>
        <v>192.80907482779753</v>
      </c>
      <c r="L25" s="494">
        <f ca="1">MAX(acc_xz)</f>
        <v>44.642485084218293</v>
      </c>
      <c r="M25" s="500"/>
      <c r="N25" s="58"/>
    </row>
    <row r="26" spans="1:18" x14ac:dyDescent="0.2">
      <c r="A26" s="59"/>
      <c r="B26" s="469" t="str">
        <f>IF(Lang="Français","Dépotage",IF(Lang="English","Delay",""))</f>
        <v>Dépotage</v>
      </c>
      <c r="C26" s="505" t="s">
        <v>407</v>
      </c>
      <c r="D26" s="535"/>
      <c r="F26" s="620" t="str">
        <f>IF(Lang="Français","Largage du satellite",IF(Lang="English","Satellite separation",""))</f>
        <v>Largage du satellite</v>
      </c>
      <c r="G26" s="601"/>
      <c r="H26" s="152">
        <f>IF(T_satellite&lt;&gt;0,T_satellite,"")</f>
        <v>4.7</v>
      </c>
      <c r="I26" s="156">
        <f ca="1">IF(T_satellite&lt;&gt;0,INDEX(pos_z,MATCH("Satellite",Event_sat,0)),"")</f>
        <v>766.73632596141681</v>
      </c>
      <c r="J26" s="154">
        <f ca="1">IF(T_satellite&lt;&gt;0,INDEX(pos_x,MATCH("Satellite",Event_sat,0)),"")</f>
        <v>161.37166966136928</v>
      </c>
      <c r="K26" s="159">
        <f ca="1">IF(T_satellite&lt;&gt;0,INDEX(vit_xz,MATCH("Satellite",Event_sat,0)),"")</f>
        <v>169.52529899318822</v>
      </c>
      <c r="L26" s="495"/>
      <c r="M26" s="485">
        <f ca="1">1/2*Rho_moyen*1*V_ouv_sat^2*S_satellite</f>
        <v>352.05063073444086</v>
      </c>
      <c r="N26" s="58"/>
    </row>
    <row r="27" spans="1:18" x14ac:dyDescent="0.2">
      <c r="A27" s="59"/>
      <c r="B27" s="468" t="str">
        <f>IF(Lang="Français","Ouverture para",IF(Lang="English","Opening time",""))</f>
        <v>Ouverture para</v>
      </c>
      <c r="C27" s="507">
        <v>15.5</v>
      </c>
      <c r="D27" s="507">
        <v>4.7</v>
      </c>
      <c r="F27" s="619" t="s">
        <v>15</v>
      </c>
      <c r="G27" s="599"/>
      <c r="H27" s="153">
        <f ca="1">INDEX(t,MATCH("Apogée",Event,0))</f>
        <v>15.699999999999921</v>
      </c>
      <c r="I27" s="157">
        <f ca="1">INDEX(pos_z,MATCH("Apogée",Event,0))</f>
        <v>1495.6316819301612</v>
      </c>
      <c r="J27" s="155">
        <f ca="1">INDEX(pos_x,MATCH("Apogée",Event,0))</f>
        <v>449.66119991931424</v>
      </c>
      <c r="K27" s="160">
        <f ca="1">INDEX(vit_xz,MATCH("Apogée",Event,0))</f>
        <v>21.071081359674572</v>
      </c>
      <c r="L27" s="496"/>
      <c r="M27" s="500"/>
      <c r="N27" s="58"/>
    </row>
    <row r="28" spans="1:18" x14ac:dyDescent="0.2">
      <c r="A28" s="59"/>
      <c r="B28" s="534" t="s">
        <v>558</v>
      </c>
      <c r="C28" s="507" t="s">
        <v>560</v>
      </c>
      <c r="D28" s="507"/>
      <c r="F28" s="618" t="str">
        <f>IF(Lang="Français","Ouverture parachute fusée",IF(Lang="English","Rocket parachute opening",""))</f>
        <v>Ouverture parachute fusée</v>
      </c>
      <c r="G28" s="604"/>
      <c r="H28" s="152">
        <f>T_para</f>
        <v>15.5</v>
      </c>
      <c r="I28" s="156">
        <f ca="1">INDEX(pos_z,MATCH("Para",Event_para,0))</f>
        <v>1495.4279870293822</v>
      </c>
      <c r="J28" s="486">
        <f ca="1">INDEX(pos_x,MATCH("Para",Event_para,0))</f>
        <v>445.44051589009445</v>
      </c>
      <c r="K28" s="159">
        <f ca="1">INDEX(vit_xz,MATCH("Para",Event_para,0))</f>
        <v>21.230512529713934</v>
      </c>
      <c r="L28" s="495"/>
      <c r="M28" s="485">
        <f ca="1">1/2*Rho_moyen*1*V_ouverture^2*S_para</f>
        <v>132.65402819897758</v>
      </c>
      <c r="N28" s="58"/>
      <c r="P28" s="384" t="str">
        <f ca="1">IF(V_para&lt;5, IF(Lang="Français","Parachute fusée trop grand !","Parachute too big!"), IF( V_para&gt;15, IF(Lang="Français","Parachute fusée trop petit !","Parachute too small!"), ""))</f>
        <v/>
      </c>
      <c r="R28" s="384" t="str">
        <f>IF(AND(Nb_sat="1 satellite", OR(V_satellite&lt;5)), IF(Lang="Français","Parachute satéllite trop grand !","Parachute too big"), IF(AND(Nb_sat="1 satellite",OR(V_satellite&gt;15)), IF(Lang="Français","Parachute satéllite trop petit !","Parachute too small!"), ""))</f>
        <v/>
      </c>
    </row>
    <row r="29" spans="1:18" x14ac:dyDescent="0.2">
      <c r="A29" s="59"/>
      <c r="B29" s="141" t="s">
        <v>9</v>
      </c>
      <c r="C29" s="225">
        <f>IF(C28="rond",S_para_rond,IF(C28="Croix",S_para_croix,0.5))</f>
        <v>0.48049999999999998</v>
      </c>
      <c r="D29" s="17">
        <f>IF(RIGHT(Type_fusee,1)=".",0.1,0.02)</f>
        <v>0.02</v>
      </c>
      <c r="F29" s="623" t="str">
        <f>IF(Lang="Français","Impact balistique",IF(Lang="English","Balistic Impact",""))</f>
        <v>Impact balistique</v>
      </c>
      <c r="G29" s="624"/>
      <c r="H29" s="497">
        <f ca="1">INDEX(t,MATCH("Impact balistique",Event,0))</f>
        <v>36.80000000000021</v>
      </c>
      <c r="I29" s="517" t="s">
        <v>428</v>
      </c>
      <c r="J29" s="487">
        <f ca="1">INDEX(pos_x,MATCH("Impact balistique",Event,0))</f>
        <v>745.87074281998321</v>
      </c>
      <c r="K29" s="501">
        <f ca="1">K47</f>
        <v>105.15374627184336</v>
      </c>
      <c r="L29" s="498"/>
      <c r="M29" s="502">
        <f ca="1">0.5*m_vide*K29^2</f>
        <v>16471.522370330535</v>
      </c>
      <c r="N29" s="58"/>
      <c r="P29" s="384" t="str">
        <f ca="1">IF( OR( V_para&lt;5, V_para&gt;15, AND(Nb_sat="1 satellite", OR(V_satellite&lt;5, V_satellite&gt;15))), IF(Lang="Français","La Vitesse de descente sous parachute doit être comprise entre 5 &amp; 15 m/s.","Fall Velocity with parachute must be between 5 &amp; 15 m/s."), "")</f>
        <v/>
      </c>
    </row>
    <row r="30" spans="1:18" x14ac:dyDescent="0.2">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Fusée trop lègère !</v>
      </c>
    </row>
    <row r="31" spans="1:18" x14ac:dyDescent="0.2">
      <c r="A31" s="59"/>
      <c r="B31" s="141" t="str">
        <f>IF(Lang="Français","Vitesse du vent",IF(Lang="English","Wind speed",""))</f>
        <v>Vitesse du vent</v>
      </c>
      <c r="C31" s="144">
        <v>5</v>
      </c>
      <c r="D31" s="144">
        <f>V_vent</f>
        <v>5</v>
      </c>
      <c r="G31" s="483"/>
      <c r="H31" s="484"/>
      <c r="I31" s="488"/>
      <c r="N31" s="58"/>
      <c r="P31" s="384" t="e">
        <f ca="1">IF(OR(AND(Vsortie_de_rampe&lt;20,LEFT(Type_fusee,1)="F"),AND(Vsortie_de_rampe&lt;18, OR(LEFT(Type_fusee,1)=",",LEFT(Type_fusee,4)="Mini",LEFT(Type_fusee,1)="R"))),IF(Lang="Français","Fusée trop lourde ou rampe trop courte !","Rocket too heavy or launch pad too small!"),"")</f>
        <v>#N/A</v>
      </c>
    </row>
    <row r="32" spans="1:18" x14ac:dyDescent="0.2">
      <c r="A32" s="59"/>
      <c r="B32" s="133" t="str">
        <f>IF(Lang="Français","Vitesse descente",IF(Lang="English","Fall velocity",""))</f>
        <v>Vitesse descente</v>
      </c>
      <c r="C32" s="424">
        <f ca="1">SQRT(2*m_vide*g/Rho_moyen/S_para/Cx_para)</f>
        <v>9.9653344657812006</v>
      </c>
      <c r="D32" s="424">
        <f>SQRT(2*m_satellite*g/Rho_moyen/S_satellite/Cx_satellite)</f>
        <v>10.960038730752361</v>
      </c>
      <c r="F32" s="384"/>
      <c r="K32" s="388"/>
      <c r="N32" s="395"/>
      <c r="P32" s="384" t="str">
        <f ca="1">IF(Temps_culmi-T_para&gt;2,IF(Lang="Français","Ouverture parachute fusée précoce.","Early rocket parachute opening."),IF(Temps_culmi-T_para&lt;-2,IF(Lang="Français","Ouverture parachute fusée tardive.","Late rocket parachute opening."),""))</f>
        <v/>
      </c>
    </row>
    <row r="33" spans="1:16" x14ac:dyDescent="0.2">
      <c r="A33" s="59"/>
      <c r="B33" s="133" t="str">
        <f>IF(Lang="Français","Durée descente",IF(Lang="English","Fall duration",""))</f>
        <v>Durée descente</v>
      </c>
      <c r="C33" s="132">
        <f ca="1">Alt_para/V_para</f>
        <v>150.06300010946526</v>
      </c>
      <c r="D33" s="132">
        <f ca="1">IF(V_satellite&lt;&gt;0,Alt_sat/V_satellite,0)</f>
        <v>69.957446757013741</v>
      </c>
      <c r="H33" s="625" t="str">
        <f>IF(Lang="Français","Pour localiser la fusée","To locate the rocket")</f>
        <v>Pour localiser la fusée</v>
      </c>
      <c r="I33" s="625"/>
      <c r="J33" s="482"/>
      <c r="N33" s="395"/>
      <c r="P33" s="384" t="str">
        <f ca="1">IF(ABS(Temps_culmi-T_para)&gt;2,IF(Lang="Français","Attention, aux efforts sur le parachute lors de l'ouverture !","Becarefull to the opening chute efforts!"),"")</f>
        <v/>
      </c>
    </row>
    <row r="34" spans="1:16" customFormat="1" x14ac:dyDescent="0.2">
      <c r="A34" s="59"/>
      <c r="B34" s="133" t="str">
        <f>IF(Lang="Français","Durée du vol",IF(Lang="English","Fligth duration",""))</f>
        <v>Durée du vol</v>
      </c>
      <c r="C34" s="132">
        <f ca="1">T_para+Dt_para</f>
        <v>165.56300010946526</v>
      </c>
      <c r="D34" s="132">
        <f ca="1">T_satellite+Dt_satellite</f>
        <v>74.657446757013744</v>
      </c>
      <c r="F34" s="625" t="str">
        <f>IF(Lang="Français","Couleur fuselage/coiffe","Body/Nose color")</f>
        <v>Couleur fuselage/coiffe</v>
      </c>
      <c r="G34" s="625"/>
      <c r="H34" s="621" t="s">
        <v>266</v>
      </c>
      <c r="I34" s="622"/>
      <c r="J34" s="1"/>
      <c r="K34" s="1"/>
      <c r="L34" s="1"/>
      <c r="M34" s="1"/>
      <c r="N34" s="394"/>
    </row>
    <row r="35" spans="1:16" x14ac:dyDescent="0.2">
      <c r="A35" s="74"/>
      <c r="B35" s="133" t="str">
        <f>IF(Lang="Français","Déport latéral",IF(Lang="English","Lateral shift",""))</f>
        <v>Déport latéral</v>
      </c>
      <c r="C35" s="151">
        <f ca="1">Alt_para*V_vent/V_para</f>
        <v>750.31500054732624</v>
      </c>
      <c r="D35" s="151">
        <f ca="1">IF(V_satellite&lt;&gt;0,Alt_sat*V_vent_sat/V_satellite,0)</f>
        <v>349.78723378506874</v>
      </c>
      <c r="F35" s="625" t="str">
        <f>IF(Lang="Français","Couleur parachute fusée","Rocket parachute color")</f>
        <v>Couleur parachute fusée</v>
      </c>
      <c r="G35" s="625"/>
      <c r="H35" s="621" t="s">
        <v>267</v>
      </c>
      <c r="I35" s="622"/>
      <c r="J35"/>
      <c r="K35"/>
      <c r="L35"/>
      <c r="M35"/>
      <c r="N35" s="394" t="str">
        <f>IF(Lang="Français","fichier initial","Initial file")</f>
        <v>fichier initial</v>
      </c>
      <c r="P35"/>
    </row>
    <row r="36" spans="1:16" x14ac:dyDescent="0.2">
      <c r="A36" s="59"/>
      <c r="F36" s="625" t="str">
        <f>IF(Lang="Français","Couleur parachute satellite","Satellite parachute color")</f>
        <v>Couleur parachute satellite</v>
      </c>
      <c r="G36" s="625"/>
      <c r="H36" s="629" t="s">
        <v>158</v>
      </c>
      <c r="I36" s="629"/>
      <c r="N36" s="393" t="str">
        <f>IF(ROUND(SUM(Propu!5:1228),0)=437735,"propu OK","propu NOK")</f>
        <v>propu OK</v>
      </c>
      <c r="P36"/>
    </row>
    <row r="37" spans="1:16" ht="13.5" thickBot="1" x14ac:dyDescent="0.25">
      <c r="A37" s="60"/>
      <c r="B37" s="181" t="str">
        <f>IF(Lang="Français","Commentaire libre :",IF(Lang="English","Free comment:",""))</f>
        <v>Commentaire libre :</v>
      </c>
      <c r="C37" s="61"/>
      <c r="D37" s="61"/>
      <c r="E37" s="61"/>
      <c r="F37" s="61"/>
      <c r="G37" s="61"/>
      <c r="H37" s="61"/>
      <c r="I37" s="61"/>
      <c r="J37" s="61"/>
      <c r="K37" s="61"/>
      <c r="L37" s="61"/>
      <c r="M37" s="61"/>
      <c r="N37" s="290" t="s">
        <v>567</v>
      </c>
    </row>
    <row r="40" spans="1:16" x14ac:dyDescent="0.2">
      <c r="A40" s="626" t="str">
        <f>IF(Lang="Français","Calcul de la surface d'un parachute","Parachute surface calculation")</f>
        <v>Calcul de la surface d'un parachute</v>
      </c>
      <c r="B40" s="627"/>
      <c r="C40" s="627"/>
      <c r="D40" s="628"/>
      <c r="F40" s="626" t="str">
        <f>IF(Lang="Français","Résultats détaillés","Detailled results")</f>
        <v>Résultats détaillés</v>
      </c>
      <c r="G40" s="628"/>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2">
      <c r="A41" s="161"/>
      <c r="D41" s="162"/>
      <c r="F41" s="172"/>
      <c r="G41" s="173"/>
      <c r="H41" s="171" t="s">
        <v>153</v>
      </c>
      <c r="I41" s="136" t="s">
        <v>38</v>
      </c>
      <c r="J41" s="136" t="s">
        <v>38</v>
      </c>
      <c r="K41" s="136" t="s">
        <v>154</v>
      </c>
      <c r="L41" s="136" t="s">
        <v>7</v>
      </c>
      <c r="M41" s="136" t="s">
        <v>155</v>
      </c>
    </row>
    <row r="42" spans="1:16" x14ac:dyDescent="0.2">
      <c r="A42" s="161"/>
      <c r="D42" s="162"/>
      <c r="F42" s="598" t="str">
        <f>IF(Lang="Français","Décollage",IF(Lang="English","Lift-Off",""))</f>
        <v>Décollage</v>
      </c>
      <c r="G42" s="598"/>
      <c r="H42" s="150">
        <v>3.2</v>
      </c>
      <c r="I42" s="150">
        <v>497.16938386972515</v>
      </c>
      <c r="J42" s="150">
        <v>100.55190764607381</v>
      </c>
      <c r="K42" s="150">
        <v>176.71085285003218</v>
      </c>
      <c r="L42" s="148" t="s">
        <v>14</v>
      </c>
      <c r="M42" s="149">
        <f>Beta_rampe</f>
        <v>77.775282912698117</v>
      </c>
    </row>
    <row r="43" spans="1:16" x14ac:dyDescent="0.2">
      <c r="A43" s="161"/>
      <c r="B43" s="166" t="str">
        <f>IF(Lang="Français","Bord   'a'","Side length 'a'")</f>
        <v>Bord   'a'</v>
      </c>
      <c r="D43" s="162"/>
      <c r="F43" s="599" t="str">
        <f>IF(Lang="Français","Sortie de Rampe",IF(Lang="English","Launch-Pad Exit",""))</f>
        <v>Sortie de Rampe</v>
      </c>
      <c r="G43" s="599"/>
      <c r="H43" s="115" t="e">
        <f ca="1">INDEX(t,MATCH("Sortie de rampe",Event,0))</f>
        <v>#N/A</v>
      </c>
      <c r="I43" s="115" t="e">
        <f ca="1">INDEX(pos_z,MATCH("Sortie de rampe",Event,0))</f>
        <v>#N/A</v>
      </c>
      <c r="J43" s="115" t="e">
        <f ca="1">INDEX(pos_x,MATCH("Sortie de rampe",Event,0))</f>
        <v>#N/A</v>
      </c>
      <c r="K43" s="116" t="e">
        <f ca="1">INDEX(vit_xz,MATCH("Sortie de rampe",Event,0))</f>
        <v>#N/A</v>
      </c>
      <c r="L43" s="116" t="e">
        <f ca="1">INDEX(acc_xz,MATCH("Sortie de rampe",Event,0))</f>
        <v>#N/A</v>
      </c>
      <c r="M43" s="116" t="e">
        <f ca="1">INDEX(BetaD,MATCH("Sortie de rampe",Event,0))</f>
        <v>#N/A</v>
      </c>
    </row>
    <row r="44" spans="1:16" x14ac:dyDescent="0.2">
      <c r="A44" s="161"/>
      <c r="B44" s="167">
        <v>310</v>
      </c>
      <c r="D44" s="162"/>
      <c r="F44" s="599" t="str">
        <f>IF(Lang="Français","Vit max &amp; Acc max",IF(Lang="English","Max Velocity &amp; Acc",""))</f>
        <v>Vit max &amp; Acc max</v>
      </c>
      <c r="G44" s="599"/>
      <c r="H44" s="115" t="s">
        <v>14</v>
      </c>
      <c r="I44" s="115" t="s">
        <v>14</v>
      </c>
      <c r="J44" s="115" t="s">
        <v>14</v>
      </c>
      <c r="K44" s="117">
        <f ca="1">MAX(vit_xz)</f>
        <v>192.80907482779753</v>
      </c>
      <c r="L44" s="118">
        <f ca="1">MAX(acc_xz)</f>
        <v>44.642485084218293</v>
      </c>
      <c r="M44" s="116" t="s">
        <v>14</v>
      </c>
    </row>
    <row r="45" spans="1:16" x14ac:dyDescent="0.2">
      <c r="A45" s="161"/>
      <c r="B45" s="166" t="str">
        <f>IF(Lang="Français","Coté   'b'","Side width 'b'")</f>
        <v>Coté   'b'</v>
      </c>
      <c r="D45" s="162"/>
      <c r="F45" s="599" t="str">
        <f>IF(Lang="Français","Fin de Propulsion",IF(Lang="English","Motor Burn-Out",""))</f>
        <v>Fin de Propulsion</v>
      </c>
      <c r="G45" s="599"/>
      <c r="H45" s="116">
        <f ca="1">INDEX(t,MATCH("Fin de propulsion",Event,0))</f>
        <v>4.2899999999999769</v>
      </c>
      <c r="I45" s="119">
        <f ca="1">INDEX(pos_z,MATCH("Fin de propulsion",Event,0))</f>
        <v>696.30989880621405</v>
      </c>
      <c r="J45" s="119">
        <f ca="1">INDEX(pos_x,MATCH("Fin de propulsion",Event,0))</f>
        <v>145.00728404689499</v>
      </c>
      <c r="K45" s="119">
        <f ca="1">INDEX(vit_xz,MATCH("Fin de propulsion",Event,0))</f>
        <v>183.44658149438982</v>
      </c>
      <c r="L45" s="116">
        <f ca="1">INDEX(acc_xz,MATCH("Fin de propulsion",Event,0))</f>
        <v>36.16460607938226</v>
      </c>
      <c r="M45" s="116">
        <f ca="1">INDEX(BetaD,MATCH("Fin de propulsion",Event,0))</f>
        <v>77.062462457502576</v>
      </c>
    </row>
    <row r="46" spans="1:16" x14ac:dyDescent="0.2">
      <c r="A46" s="161"/>
      <c r="B46" s="168">
        <v>310</v>
      </c>
      <c r="D46" s="162"/>
      <c r="F46" s="599" t="s">
        <v>15</v>
      </c>
      <c r="G46" s="599"/>
      <c r="H46" s="118">
        <f ca="1">INDEX(t,MATCH("Apogée",Event,0))</f>
        <v>15.699999999999921</v>
      </c>
      <c r="I46" s="117">
        <f ca="1">INDEX(pos_z,MATCH("Apogée",Event,0))</f>
        <v>1495.6316819301612</v>
      </c>
      <c r="J46" s="120">
        <f ca="1">INDEX(pos_x,MATCH("Apogée",Event,0))</f>
        <v>449.66119991931424</v>
      </c>
      <c r="K46" s="120">
        <f ca="1">INDEX(vit_xz,MATCH("Apogée",Event,0))</f>
        <v>21.071081359674572</v>
      </c>
      <c r="L46" s="116">
        <f ca="1">INDEX(acc_xz,MATCH("Apogée",Event,0))</f>
        <v>9.8309038562224096</v>
      </c>
      <c r="M46" s="121">
        <f ca="1">INDEX(BetaD,MATCH("Apogée",Event,0))</f>
        <v>9.6625504653730446E-2</v>
      </c>
    </row>
    <row r="47" spans="1:16" x14ac:dyDescent="0.2">
      <c r="A47" s="161"/>
      <c r="B47" s="169" t="s">
        <v>9</v>
      </c>
      <c r="D47" s="162"/>
      <c r="F47" s="602" t="str">
        <f>IF(Lang="Français","Impact balistique",IF(Lang="English","Balistic Impact",""))</f>
        <v>Impact balistique</v>
      </c>
      <c r="G47" s="602"/>
      <c r="H47" s="116">
        <f ca="1">INDEX(t,MATCH("Impact balistique",Event,0))</f>
        <v>36.80000000000021</v>
      </c>
      <c r="I47" s="148" t="s">
        <v>16</v>
      </c>
      <c r="J47" s="117">
        <f ca="1">INDEX(pos_x,MATCH("Impact balistique",Event,0))</f>
        <v>745.87074281998321</v>
      </c>
      <c r="K47" s="119">
        <f ca="1">INDEX(vit_xz,MATCH("Impact balistique",Event,0))</f>
        <v>105.15374627184336</v>
      </c>
      <c r="L47" s="116">
        <f ca="1">INDEX(acc_xz,MATCH("Impact balistique",Event,0))</f>
        <v>0.76431223133270665</v>
      </c>
      <c r="M47" s="116">
        <f ca="1">INDEX(BetaD,MATCH("Impact balistique",Event,0))</f>
        <v>-86.619340878174924</v>
      </c>
    </row>
    <row r="48" spans="1:16" x14ac:dyDescent="0.2">
      <c r="A48" s="161"/>
      <c r="B48" s="174">
        <f>(4*B44*B46+B44^2)/10^6</f>
        <v>0.48049999999999998</v>
      </c>
      <c r="D48" s="162"/>
      <c r="F48" s="604" t="str">
        <f>IF(Lang="Français","Ouverture parachute fusée",IF(Lang="English","Rocket parachute opening",""))</f>
        <v>Ouverture parachute fusée</v>
      </c>
      <c r="G48" s="604"/>
      <c r="H48" s="122">
        <f>T_para</f>
        <v>15.5</v>
      </c>
      <c r="I48" s="123">
        <f ca="1">INDEX(pos_z,MATCH("Para",Event_para,0))</f>
        <v>1495.4279870293822</v>
      </c>
      <c r="J48" s="123">
        <f ca="1">INDEX(pos_x,MATCH("Para",Event_para,0))</f>
        <v>445.44051589009445</v>
      </c>
      <c r="K48" s="123">
        <f ca="1">INDEX(vit_xz,MATCH("Para",Event_para,0))</f>
        <v>21.230512529713934</v>
      </c>
      <c r="L48" s="122">
        <f ca="1">INDEX(acc_xz,MATCH("Para",Event_para,0))</f>
        <v>9.861755664020297</v>
      </c>
      <c r="M48" s="124">
        <f ca="1">INDEX(BetaD,MATCH("Para",Event_para,0))</f>
        <v>5.4114051292465239</v>
      </c>
    </row>
    <row r="49" spans="1:13" x14ac:dyDescent="0.2">
      <c r="A49" s="161"/>
      <c r="D49" s="162"/>
      <c r="F49" s="603" t="str">
        <f>IF(Lang="Français","Impact fusée sous para.",IF(Lang="English","Impact of rocket with para. ",""))</f>
        <v>Impact fusée sous para.</v>
      </c>
      <c r="G49" s="603"/>
      <c r="H49" s="125">
        <f ca="1">T_para+Dt_para</f>
        <v>165.56300010946526</v>
      </c>
      <c r="I49" s="127" t="s">
        <v>16</v>
      </c>
      <c r="J49" s="126" t="str">
        <f ca="1">CONCATENATE(TEXT(X_para-Dx_para,"0")," | ",TEXT(X_para+Dx_para,"0"))</f>
        <v>-305 | 1196</v>
      </c>
      <c r="K49" s="126">
        <f ca="1">V_para</f>
        <v>9.9653344657812006</v>
      </c>
      <c r="L49" s="128">
        <f>g</f>
        <v>9.81</v>
      </c>
      <c r="M49" s="128" t="s">
        <v>14</v>
      </c>
    </row>
    <row r="50" spans="1:13" x14ac:dyDescent="0.2">
      <c r="A50" s="161"/>
      <c r="D50" s="162"/>
      <c r="F50" s="600" t="str">
        <f>IF(Lang="Français","Largage du satellite",IF(Lang="English","Satellite separation",""))</f>
        <v>Largage du satellite</v>
      </c>
      <c r="G50" s="601"/>
      <c r="H50" s="122">
        <f>IF(T_satellite&lt;&gt;0,T_satellite,"")</f>
        <v>4.7</v>
      </c>
      <c r="I50" s="123">
        <f ca="1">IF(T_satellite&lt;&gt;0,INDEX(pos_z,MATCH("Satellite",Event_sat,0)),"")</f>
        <v>766.73632596141681</v>
      </c>
      <c r="J50" s="129">
        <f ca="1">IF(T_satellite&lt;&gt;0,INDEX(pos_x,MATCH("Satellite",Event_sat,0)),"")</f>
        <v>161.37166966136928</v>
      </c>
      <c r="K50" s="123">
        <f ca="1">IF(T_satellite&lt;&gt;0,INDEX(vit_xz,MATCH("Satellite",Event_sat,0)),"")</f>
        <v>169.52529899318822</v>
      </c>
      <c r="L50" s="122">
        <f ca="1">IF(T_satellite&lt;&gt;0,INDEX(acc_xz,MATCH("Satellite",Event_sat,0)),"")</f>
        <v>32.127160732365681</v>
      </c>
      <c r="M50" s="124">
        <f ca="1">IF(T_satellite&lt;&gt;0,INDEX(BetaD,MATCH("Satellite",Event_sat,0)),"")</f>
        <v>76.766250927708612</v>
      </c>
    </row>
    <row r="51" spans="1:13" x14ac:dyDescent="0.2">
      <c r="A51" s="161"/>
      <c r="B51" s="166" t="str">
        <f>IF(Lang="Français","Rayon exterieur","Half-diameter ext")</f>
        <v>Rayon exterieur</v>
      </c>
      <c r="D51" s="162"/>
      <c r="F51" s="596" t="str">
        <f>IF(Lang="Français","Impact du satellite",IF(Lang="English","Satellite impact",""))</f>
        <v>Impact du satellite</v>
      </c>
      <c r="G51" s="597"/>
      <c r="H51" s="125">
        <f ca="1">IF(T_satellite&lt;&gt;0,T_satellite+Dt_satellite,"")</f>
        <v>74.657446757013744</v>
      </c>
      <c r="I51" s="130" t="str">
        <f>IF(T_satellite&lt;&gt;0,"~0","")</f>
        <v>~0</v>
      </c>
      <c r="J51" s="130" t="str">
        <f ca="1">IF(T_satellite&lt;&gt;0,CONCATENATE(TEXT(X_satellite-Dx_sat,"0")," | ",TEXT(X_satellite+Dx_sat,"0")),"")</f>
        <v>-188 | 511</v>
      </c>
      <c r="K51" s="130">
        <f>IF(T_satellite&lt;&gt;0,V_satellite,"")</f>
        <v>10.960038730752361</v>
      </c>
      <c r="L51" s="128">
        <f>IF(T_satellite&lt;&gt;0,g,"")</f>
        <v>9.81</v>
      </c>
      <c r="M51" s="131" t="str">
        <f>IF(T_satellite&lt;&gt;0,"-","")</f>
        <v>-</v>
      </c>
    </row>
    <row r="52" spans="1:13" x14ac:dyDescent="0.2">
      <c r="A52" s="161"/>
      <c r="B52" s="168">
        <v>299</v>
      </c>
      <c r="D52" s="162"/>
    </row>
    <row r="53" spans="1:13" x14ac:dyDescent="0.2">
      <c r="A53" s="161"/>
      <c r="B53" s="166" t="str">
        <f>IF(Lang="Français","Rayon intérieur","Half-diameter int")</f>
        <v>Rayon intérieur</v>
      </c>
      <c r="D53" s="162"/>
    </row>
    <row r="54" spans="1:13" x14ac:dyDescent="0.2">
      <c r="A54" s="161"/>
      <c r="B54" s="168">
        <v>29</v>
      </c>
      <c r="D54" s="162"/>
    </row>
    <row r="55" spans="1:13" x14ac:dyDescent="0.2">
      <c r="A55" s="161"/>
      <c r="B55" s="169" t="s">
        <v>9</v>
      </c>
      <c r="D55" s="162"/>
    </row>
    <row r="56" spans="1:13" x14ac:dyDescent="0.2">
      <c r="A56" s="161"/>
      <c r="B56" s="174">
        <f>PI()*(B52^2-B54^2)/10^6</f>
        <v>0.27821944540191207</v>
      </c>
      <c r="D56" s="162"/>
    </row>
    <row r="57" spans="1:13" x14ac:dyDescent="0.2">
      <c r="A57" s="163"/>
      <c r="B57" s="164"/>
      <c r="C57" s="164"/>
      <c r="D57" s="165"/>
    </row>
    <row r="94" spans="2:2" x14ac:dyDescent="0.2">
      <c r="B94" s="24" t="str">
        <f>IF(Lang="Français","Vitesse de descente sous parachute :",IF(Lang="English","Fall velocity over parachute:",""))</f>
        <v>Vitesse de descente sous parachute :</v>
      </c>
    </row>
    <row r="103" spans="2:9" x14ac:dyDescent="0.2">
      <c r="B103" s="24" t="str">
        <f>IF(Lang="Français","Textes pour les listes déroulantes et graphiques :","Texts for drop-down lists &amp; graphics :")</f>
        <v>Textes pour les listes déroulantes et graphiques :</v>
      </c>
    </row>
    <row r="104" spans="2:9" x14ac:dyDescent="0.2">
      <c r="F104" s="221" t="s">
        <v>407</v>
      </c>
      <c r="G104" s="1" t="s">
        <v>414</v>
      </c>
      <c r="I104" s="1" t="s">
        <v>559</v>
      </c>
    </row>
    <row r="105" spans="2:9" x14ac:dyDescent="0.2">
      <c r="B105" s="1" t="s">
        <v>120</v>
      </c>
      <c r="F105" s="477">
        <f ca="1">Combustion+Depotage-9</f>
        <v>4.9700000000000006</v>
      </c>
      <c r="G105" s="478" t="s">
        <v>409</v>
      </c>
      <c r="I105" s="1" t="s">
        <v>560</v>
      </c>
    </row>
    <row r="106" spans="2:9" x14ac:dyDescent="0.2">
      <c r="B106" s="1" t="s">
        <v>121</v>
      </c>
      <c r="F106" s="477">
        <f ca="1">Combustion+Depotage-7</f>
        <v>6.9700000000000006</v>
      </c>
      <c r="G106" s="478" t="s">
        <v>410</v>
      </c>
      <c r="I106" s="1" t="s">
        <v>561</v>
      </c>
    </row>
    <row r="107" spans="2:9" x14ac:dyDescent="0.2">
      <c r="B107" s="1" t="str">
        <f>IF(T_para&gt;0,IF(Lang="Français","Phase ascendante","Climbing phase"),"")</f>
        <v>Phase ascendante</v>
      </c>
      <c r="F107" s="477">
        <f ca="1">Combustion+Depotage-5</f>
        <v>8.9700000000000006</v>
      </c>
      <c r="G107" s="478" t="s">
        <v>411</v>
      </c>
    </row>
    <row r="108" spans="2:9" x14ac:dyDescent="0.2">
      <c r="B108" s="1" t="str">
        <f>IF(Lang="Français","Descente balistique","Balistic fall")</f>
        <v>Descente balistique</v>
      </c>
      <c r="F108" s="477">
        <f ca="1">Combustion+Depotage-3</f>
        <v>10.97</v>
      </c>
      <c r="G108" s="478" t="s">
        <v>412</v>
      </c>
    </row>
    <row r="109" spans="2:9" x14ac:dyDescent="0.2">
      <c r="B109" s="1" t="str">
        <f>IF(T_para&gt;0,IF(Lang="Français","Fusée sous parachute","Rocket under parachute"),"")</f>
        <v>Fusée sous parachute</v>
      </c>
      <c r="F109" s="477">
        <f ca="1">Combustion+Depotage</f>
        <v>13.97</v>
      </c>
      <c r="G109" s="478" t="s">
        <v>413</v>
      </c>
    </row>
    <row r="110" spans="2:9" x14ac:dyDescent="0.2">
      <c r="B110" s="1" t="str">
        <f>IF(AND(Nb_sat="1 satellite",T_satellite&gt;0),IF(Lang="Français","Satellite sous parachute","Satellite over parachute"),"")</f>
        <v/>
      </c>
      <c r="F110" s="479" t="str">
        <f>IF(Lang="Français","autre",IF(Lang="English","other",""))</f>
        <v>autre</v>
      </c>
    </row>
    <row r="111" spans="2:9" x14ac:dyDescent="0.2">
      <c r="B111" s="1" t="str">
        <f>IF(Lang="Français","Trajectoire (x z)","Trajectory (x z)")</f>
        <v>Trajectoire (x z)</v>
      </c>
    </row>
    <row r="112" spans="2:9" x14ac:dyDescent="0.2">
      <c r="B112" s="1" t="str">
        <f>IF(Lang="Français","Portée x [m]","Range x [m]")</f>
        <v>Portée x [m]</v>
      </c>
    </row>
    <row r="113" spans="2:3" x14ac:dyDescent="0.2">
      <c r="B113" s="1" t="str">
        <f>IF(Lang="Français","Temps [s]","Time [s]")</f>
        <v>Temps [s]</v>
      </c>
    </row>
    <row r="114" spans="2:3" x14ac:dyDescent="0.2">
      <c r="B114" s="1" t="str">
        <f>IF(Lang="Français","Altitude z  /  Temps","Altitude z  /  Time")</f>
        <v>Altitude z  /  Temps</v>
      </c>
      <c r="C114" s="1">
        <f>IF(OR(C26=F104,C26=F110),C27,C26)</f>
        <v>15.5</v>
      </c>
    </row>
    <row r="116" spans="2:3" x14ac:dyDescent="0.2">
      <c r="B116" s="1" t="s">
        <v>408</v>
      </c>
    </row>
    <row r="118" spans="2:3" x14ac:dyDescent="0.2">
      <c r="B118" s="24" t="str">
        <f>IF(Lang="Français","Données pour les graphiques :","Data for plots:")</f>
        <v>Données pour les graphiques :</v>
      </c>
    </row>
    <row r="120" spans="2:3" x14ac:dyDescent="0.2">
      <c r="B120" s="210" t="s">
        <v>47</v>
      </c>
      <c r="C120" s="211" t="s">
        <v>47</v>
      </c>
    </row>
    <row r="121" spans="2:3" x14ac:dyDescent="0.2">
      <c r="B121" s="218">
        <f ca="1">MAX(Altitude_culmi,Portee_balistique)</f>
        <v>1495.6316819301612</v>
      </c>
      <c r="C121" s="216">
        <f ca="1">MAX(Altitude_culmi,Portee_balistique)</f>
        <v>1495.6316819301612</v>
      </c>
    </row>
    <row r="123" spans="2:3" x14ac:dyDescent="0.2">
      <c r="B123" s="210" t="s">
        <v>49</v>
      </c>
      <c r="C123" s="211" t="s">
        <v>45</v>
      </c>
    </row>
    <row r="124" spans="2:3" x14ac:dyDescent="0.2">
      <c r="B124" s="217">
        <f ca="1">X_para</f>
        <v>445.44051589009445</v>
      </c>
      <c r="C124" s="214">
        <f ca="1">Alt_para</f>
        <v>1495.4279870293822</v>
      </c>
    </row>
    <row r="125" spans="2:3" x14ac:dyDescent="0.2">
      <c r="B125" s="217">
        <f ca="1">X_para</f>
        <v>445.44051589009445</v>
      </c>
      <c r="C125" s="214">
        <f ca="1">Alt_para/2</f>
        <v>747.71399351469108</v>
      </c>
    </row>
    <row r="126" spans="2:3" x14ac:dyDescent="0.2">
      <c r="B126" s="217">
        <f ca="1">X_para</f>
        <v>445.44051589009445</v>
      </c>
      <c r="C126" s="214">
        <v>0</v>
      </c>
    </row>
    <row r="127" spans="2:3" x14ac:dyDescent="0.2">
      <c r="B127" s="217">
        <f ca="1">X_para+Alt_para/40</f>
        <v>482.82621556582899</v>
      </c>
      <c r="C127" s="214">
        <f ca="1">Alt_para/20</f>
        <v>74.771399351469114</v>
      </c>
    </row>
    <row r="128" spans="2:3" x14ac:dyDescent="0.2">
      <c r="B128" s="217">
        <f ca="1">X_para</f>
        <v>445.44051589009445</v>
      </c>
      <c r="C128" s="214">
        <v>0</v>
      </c>
    </row>
    <row r="129" spans="2:6" x14ac:dyDescent="0.2">
      <c r="B129" s="217">
        <f ca="1">X_para-Alt_para/40</f>
        <v>408.0548162143599</v>
      </c>
      <c r="C129" s="214">
        <f ca="1">Alt_para/20</f>
        <v>74.771399351469114</v>
      </c>
    </row>
    <row r="130" spans="2:6" x14ac:dyDescent="0.2">
      <c r="B130" s="218">
        <f ca="1">X_para</f>
        <v>445.44051589009445</v>
      </c>
      <c r="C130" s="219">
        <v>0</v>
      </c>
    </row>
    <row r="131" spans="2:6" x14ac:dyDescent="0.2">
      <c r="B131" s="210" t="s">
        <v>48</v>
      </c>
      <c r="C131" s="211" t="s">
        <v>45</v>
      </c>
    </row>
    <row r="132" spans="2:6" x14ac:dyDescent="0.2">
      <c r="B132" s="213">
        <f>T_para</f>
        <v>15.5</v>
      </c>
      <c r="C132" s="214">
        <f ca="1">Alt_para</f>
        <v>1495.4279870293822</v>
      </c>
    </row>
    <row r="133" spans="2:6" x14ac:dyDescent="0.2">
      <c r="B133" s="213">
        <f ca="1">(B132+B134)/2</f>
        <v>90.531500054732632</v>
      </c>
      <c r="C133" s="214">
        <f ca="1">(C132+C134)/2</f>
        <v>747.71399351469108</v>
      </c>
      <c r="E133" s="232">
        <v>1</v>
      </c>
      <c r="F133" s="233" t="s">
        <v>175</v>
      </c>
    </row>
    <row r="134" spans="2:6" x14ac:dyDescent="0.2">
      <c r="B134" s="213">
        <f ca="1">H49</f>
        <v>165.56300010946526</v>
      </c>
      <c r="C134" s="214">
        <f>0</f>
        <v>0</v>
      </c>
      <c r="E134" s="161">
        <v>1</v>
      </c>
      <c r="F134" s="234" t="s">
        <v>176</v>
      </c>
    </row>
    <row r="135" spans="2:6" x14ac:dyDescent="0.2">
      <c r="B135" s="213">
        <f ca="1">H49+E133*sS/2*zZ_fus-E134*sS*tT_fus</f>
        <v>164.06752153008631</v>
      </c>
      <c r="C135" s="214">
        <f ca="1">Alt_para-V_para*(H49-T_para)+E133*sS*Altitude_culmi/H49*zZ_fus+E134*sS/2*Altitude_culmi/H49*tT_fus</f>
        <v>48.309394629682146</v>
      </c>
      <c r="E135" s="161"/>
      <c r="F135" s="241" t="s">
        <v>177</v>
      </c>
    </row>
    <row r="136" spans="2:6" x14ac:dyDescent="0.2">
      <c r="B136" s="213">
        <f ca="1">H49</f>
        <v>165.56300010946526</v>
      </c>
      <c r="C136" s="214">
        <f ca="1">Alt_para-V_para*(H49-T_para)</f>
        <v>0</v>
      </c>
      <c r="E136" s="235" t="s">
        <v>172</v>
      </c>
      <c r="F136" s="236">
        <f ca="1">T_balistique/10</f>
        <v>3.680000000000021</v>
      </c>
    </row>
    <row r="137" spans="2:6" x14ac:dyDescent="0.2">
      <c r="B137" s="213">
        <f ca="1">H49-E133*sS/2*zZ_fus-E134*sS*tT_fus</f>
        <v>160.3875215300863</v>
      </c>
      <c r="C137" s="214">
        <f ca="1">Alt_para-V_para*(H49-T_para)+E133*sS*Altitude_culmi/H49*zZ_fus-E134*sS/2*Altitude_culmi/H49*tT_fus</f>
        <v>18.177979794119778</v>
      </c>
      <c r="E137" s="235" t="s">
        <v>173</v>
      </c>
      <c r="F137" s="236">
        <f ca="1">(H49-T_para)/H49</f>
        <v>0.90638004874427336</v>
      </c>
    </row>
    <row r="138" spans="2:6" x14ac:dyDescent="0.2">
      <c r="B138" s="215">
        <f ca="1">H49</f>
        <v>165.56300010946526</v>
      </c>
      <c r="C138" s="216">
        <f ca="1">Alt_para-V_para*(H49-T_para)</f>
        <v>0</v>
      </c>
      <c r="E138" s="237" t="s">
        <v>174</v>
      </c>
      <c r="F138" s="238">
        <f ca="1">V_para*(H49-T_para)/Alt_para</f>
        <v>1.0000000000000002</v>
      </c>
    </row>
    <row r="140" spans="2:6" x14ac:dyDescent="0.2">
      <c r="B140" s="210" t="s">
        <v>51</v>
      </c>
      <c r="C140" s="211" t="s">
        <v>46</v>
      </c>
    </row>
    <row r="141" spans="2:6" x14ac:dyDescent="0.2">
      <c r="B141" s="217" t="b">
        <f>IF(Nb_sat="1 satellite",X_satellite)</f>
        <v>0</v>
      </c>
      <c r="C141" s="214" t="b">
        <f>IF(Nb_sat="1 satellite",Alt_sat)</f>
        <v>0</v>
      </c>
    </row>
    <row r="142" spans="2:6" x14ac:dyDescent="0.2">
      <c r="B142" s="217" t="b">
        <f>IF(Nb_sat="1 satellite",X_satellite)</f>
        <v>0</v>
      </c>
      <c r="C142" s="214" t="b">
        <f>IF(Nb_sat="1 satellite",Alt_sat*1/4)</f>
        <v>0</v>
      </c>
    </row>
    <row r="143" spans="2:6" x14ac:dyDescent="0.2">
      <c r="B143" s="217" t="b">
        <f>IF(Nb_sat="1 satellite",X_satellite)</f>
        <v>0</v>
      </c>
      <c r="C143" s="214" t="b">
        <f>IF(Nb_sat="1 satellite",0)</f>
        <v>0</v>
      </c>
    </row>
    <row r="144" spans="2:6" x14ac:dyDescent="0.2">
      <c r="B144" s="217" t="b">
        <f>IF(Nb_sat="1 satellite",X_satellite+Alt_sat/40)</f>
        <v>0</v>
      </c>
      <c r="C144" s="214" t="b">
        <f>IF(Nb_sat="1 satellite",Alt_sat/20)</f>
        <v>0</v>
      </c>
    </row>
    <row r="145" spans="2:6" x14ac:dyDescent="0.2">
      <c r="B145" s="217" t="b">
        <f>IF(Nb_sat="1 satellite",X_satellite)</f>
        <v>0</v>
      </c>
      <c r="C145" s="214" t="b">
        <f>IF(Nb_sat="1 satellite",0)</f>
        <v>0</v>
      </c>
    </row>
    <row r="146" spans="2:6" x14ac:dyDescent="0.2">
      <c r="B146" s="217" t="b">
        <f>IF(Nb_sat="1 satellite",X_satellite-Alt_sat/40)</f>
        <v>0</v>
      </c>
      <c r="C146" s="214" t="b">
        <f>IF(Nb_sat="1 satellite",Alt_sat/20)</f>
        <v>0</v>
      </c>
    </row>
    <row r="147" spans="2:6" x14ac:dyDescent="0.2">
      <c r="B147" s="218" t="b">
        <f>IF(Nb_sat="1 satellite",X_satellite)</f>
        <v>0</v>
      </c>
      <c r="C147" s="214" t="b">
        <f>IF(Nb_sat="1 satellite",0)</f>
        <v>0</v>
      </c>
    </row>
    <row r="148" spans="2:6" x14ac:dyDescent="0.2">
      <c r="B148" s="210" t="s">
        <v>50</v>
      </c>
      <c r="C148" s="211" t="s">
        <v>46</v>
      </c>
    </row>
    <row r="149" spans="2:6" x14ac:dyDescent="0.2">
      <c r="B149" s="213" t="b">
        <f>IF(Nb_sat="1 satellite",T_satellite)</f>
        <v>0</v>
      </c>
      <c r="C149" s="214" t="b">
        <f>IF(Nb_sat="1 satellite",Alt_sat)</f>
        <v>0</v>
      </c>
      <c r="D149" s="221"/>
    </row>
    <row r="150" spans="2:6" x14ac:dyDescent="0.2">
      <c r="B150" s="213">
        <f>(B149+B151)/2</f>
        <v>0</v>
      </c>
      <c r="C150" s="214">
        <f>(C149+C151)/2</f>
        <v>0</v>
      </c>
      <c r="D150" s="221"/>
    </row>
    <row r="151" spans="2:6" x14ac:dyDescent="0.2">
      <c r="B151" s="213" t="b">
        <f>IF(Nb_sat="1 satellite",H51)</f>
        <v>0</v>
      </c>
      <c r="C151" s="214" t="b">
        <f>IF(Nb_sat="1 satellite",0)</f>
        <v>0</v>
      </c>
    </row>
    <row r="152" spans="2:6" x14ac:dyDescent="0.2">
      <c r="B152" s="213" t="b">
        <f>IF(Nb_sat="1 satellite",H51+E133*sS/2*zZ_sat-E134*sS*tT_sat)</f>
        <v>0</v>
      </c>
      <c r="C152" s="214" t="b">
        <f>IF(Nb_sat="1 satellite",Alt_sat-V_satellite*(H51-T_satellite)+E133*sS*Altitude_culmi/H51*zZ_sat+E134*sS/2*Altitude_culmi/H51*tT_sat)</f>
        <v>0</v>
      </c>
      <c r="D152" s="221"/>
    </row>
    <row r="153" spans="2:6" x14ac:dyDescent="0.2">
      <c r="B153" s="213" t="b">
        <f>IF(Nb_sat="1 satellite",H51)</f>
        <v>0</v>
      </c>
      <c r="C153" s="214" t="b">
        <f>IF(Nb_sat="1 satellite",0)</f>
        <v>0</v>
      </c>
    </row>
    <row r="154" spans="2:6" x14ac:dyDescent="0.2">
      <c r="B154" s="213" t="b">
        <f>IF(Nb_sat="1 satellite",H51-sS/2*zZ_sat-E134*sS*tT_sat)</f>
        <v>0</v>
      </c>
      <c r="C154" s="214" t="b">
        <f>IF(Nb_sat="1 satellite",Alt_sat-V_satellite*(H51-T_satellite)+E133*sS*Altitude_culmi/H51*zZ_sat-E134*sS/2*Altitude_culmi/H51*tT_sat)</f>
        <v>0</v>
      </c>
      <c r="E154" s="239" t="s">
        <v>173</v>
      </c>
      <c r="F154" s="240">
        <f ca="1">(T_balistique-T_satellite)/T_balistique</f>
        <v>0.87228260869565277</v>
      </c>
    </row>
    <row r="155" spans="2:6" x14ac:dyDescent="0.2">
      <c r="B155" s="215" t="b">
        <f>IF(Nb_sat="1 satellite",H51)</f>
        <v>0</v>
      </c>
      <c r="C155" s="216" t="b">
        <f>IF(Nb_sat="1 satellite",0)</f>
        <v>0</v>
      </c>
      <c r="E155" s="237" t="s">
        <v>174</v>
      </c>
      <c r="F155" s="238">
        <f ca="1">V_satellite*(T_balistique-T_satellite)/Alt_sat</f>
        <v>0.45885036530127432</v>
      </c>
    </row>
    <row r="157" spans="2:6" x14ac:dyDescent="0.2">
      <c r="B157" s="210" t="s">
        <v>2</v>
      </c>
      <c r="C157" s="228" t="s">
        <v>29</v>
      </c>
      <c r="D157" s="211" t="s">
        <v>3</v>
      </c>
    </row>
    <row r="158" spans="2:6" x14ac:dyDescent="0.2">
      <c r="B158" s="231">
        <f>T_para/4</f>
        <v>3.875</v>
      </c>
      <c r="C158" s="82">
        <f ca="1">Alt_para/2</f>
        <v>747.71399351469108</v>
      </c>
      <c r="D158" s="214">
        <f ca="1">X_para/4</f>
        <v>111.36012897252361</v>
      </c>
    </row>
    <row r="159" spans="2:6" x14ac:dyDescent="0.2">
      <c r="B159" s="229">
        <f ca="1">Temps_culmi + (T_balistique-Temps_culmi)/2</f>
        <v>26.250000000000064</v>
      </c>
      <c r="C159" s="230">
        <f ca="1">Altitude_culmi/2</f>
        <v>747.81584096508061</v>
      </c>
      <c r="D159" s="216">
        <f ca="1">X_culmi+(Portee_balistique-X_culmi)*2/3</f>
        <v>647.1342285197602</v>
      </c>
    </row>
    <row r="161" spans="2:6" x14ac:dyDescent="0.2">
      <c r="B161" s="210" t="s">
        <v>304</v>
      </c>
      <c r="C161" s="228" t="s">
        <v>303</v>
      </c>
      <c r="D161" s="422" t="s">
        <v>305</v>
      </c>
    </row>
    <row r="162" spans="2:6" x14ac:dyDescent="0.2">
      <c r="B162" s="231" t="e">
        <f ca="1">IF(AND(Altitude_culmi&gt;80, Altitude_culmi&lt;=350), 49, NA())</f>
        <v>#N/A</v>
      </c>
      <c r="C162" s="5">
        <v>0</v>
      </c>
      <c r="D162" s="82">
        <f t="shared" ref="D162:D177" ca="1" si="0">X_culmi+C162</f>
        <v>449.66119991931424</v>
      </c>
      <c r="E162" s="422"/>
      <c r="F162" s="423" t="s">
        <v>305</v>
      </c>
    </row>
    <row r="163" spans="2:6" x14ac:dyDescent="0.2">
      <c r="B163" s="231" t="e">
        <f ca="1">IF(AND(Altitude_culmi&gt;80, Altitude_culmi&lt;=350), 49, NA())</f>
        <v>#N/A</v>
      </c>
      <c r="C163" s="5">
        <v>23</v>
      </c>
      <c r="D163" s="82">
        <f t="shared" ca="1" si="0"/>
        <v>472.66119991931424</v>
      </c>
      <c r="E163" s="82"/>
      <c r="F163" s="214">
        <f t="shared" ref="F163:F178" ca="1" si="1">X_culmi-C162</f>
        <v>449.66119991931424</v>
      </c>
    </row>
    <row r="164" spans="2:6" x14ac:dyDescent="0.2">
      <c r="B164" s="231" t="e">
        <f ca="1">IF(AND(Altitude_culmi&gt;80, Altitude_culmi&lt;=350), 43, NA())</f>
        <v>#N/A</v>
      </c>
      <c r="C164" s="5">
        <v>23</v>
      </c>
      <c r="D164" s="82">
        <f t="shared" ca="1" si="0"/>
        <v>472.66119991931424</v>
      </c>
      <c r="E164" s="82"/>
      <c r="F164" s="214">
        <f t="shared" ca="1" si="1"/>
        <v>426.66119991931424</v>
      </c>
    </row>
    <row r="165" spans="2:6" x14ac:dyDescent="0.2">
      <c r="B165" s="231" t="e">
        <f ca="1">IF(AND(Altitude_culmi&gt;80, Altitude_culmi&lt;=350), 43, NA())</f>
        <v>#N/A</v>
      </c>
      <c r="C165" s="5">
        <v>0</v>
      </c>
      <c r="D165" s="82">
        <f t="shared" ca="1" si="0"/>
        <v>449.66119991931424</v>
      </c>
      <c r="E165" s="82"/>
      <c r="F165" s="214">
        <f t="shared" ca="1" si="1"/>
        <v>426.66119991931424</v>
      </c>
    </row>
    <row r="166" spans="2:6" x14ac:dyDescent="0.2">
      <c r="B166" s="231" t="e">
        <f ca="1">IF(AND(Altitude_culmi&gt;80, Altitude_culmi&lt;=350), 43, NA())</f>
        <v>#N/A</v>
      </c>
      <c r="C166" s="5">
        <v>23</v>
      </c>
      <c r="D166" s="82">
        <f t="shared" ca="1" si="0"/>
        <v>472.66119991931424</v>
      </c>
      <c r="E166" s="82"/>
      <c r="F166" s="214">
        <f t="shared" ca="1" si="1"/>
        <v>449.66119991931424</v>
      </c>
    </row>
    <row r="167" spans="2:6" x14ac:dyDescent="0.2">
      <c r="B167" s="231" t="e">
        <f ca="1">IF(AND(Altitude_culmi&gt;80, Altitude_culmi&lt;=350), 0.5, NA())</f>
        <v>#N/A</v>
      </c>
      <c r="C167" s="5">
        <v>23</v>
      </c>
      <c r="D167" s="82">
        <f t="shared" ca="1" si="0"/>
        <v>472.66119991931424</v>
      </c>
      <c r="E167" s="82"/>
      <c r="F167" s="214">
        <f t="shared" ca="1" si="1"/>
        <v>426.66119991931424</v>
      </c>
    </row>
    <row r="168" spans="2:6" x14ac:dyDescent="0.2">
      <c r="B168" s="231" t="e">
        <f ca="1">IF(AND(Altitude_culmi&gt;80, Altitude_culmi&lt;=350), 0.5, NA())</f>
        <v>#N/A</v>
      </c>
      <c r="C168" s="5">
        <v>8</v>
      </c>
      <c r="D168" s="82">
        <f t="shared" ca="1" si="0"/>
        <v>457.66119991931424</v>
      </c>
      <c r="E168" s="82"/>
      <c r="F168" s="214">
        <f t="shared" ca="1" si="1"/>
        <v>426.66119991931424</v>
      </c>
    </row>
    <row r="169" spans="2:6" x14ac:dyDescent="0.2">
      <c r="B169" s="231" t="e">
        <f ca="1">IF(AND(Altitude_culmi&gt;80, Altitude_culmi&lt;=350), 27, NA())</f>
        <v>#N/A</v>
      </c>
      <c r="C169" s="5">
        <v>8</v>
      </c>
      <c r="D169" s="82">
        <f t="shared" ca="1" si="0"/>
        <v>457.66119991931424</v>
      </c>
      <c r="E169" s="82"/>
      <c r="F169" s="214">
        <f t="shared" ca="1" si="1"/>
        <v>441.66119991931424</v>
      </c>
    </row>
    <row r="170" spans="2:6" x14ac:dyDescent="0.2">
      <c r="B170" s="231" t="e">
        <f ca="1">IF(AND(Altitude_culmi&gt;80, Altitude_culmi&lt;=350), 27, NA())</f>
        <v>#N/A</v>
      </c>
      <c r="C170" s="5">
        <v>23</v>
      </c>
      <c r="D170" s="82">
        <f t="shared" ca="1" si="0"/>
        <v>472.66119991931424</v>
      </c>
      <c r="E170" s="82"/>
      <c r="F170" s="214">
        <f t="shared" ca="1" si="1"/>
        <v>441.66119991931424</v>
      </c>
    </row>
    <row r="171" spans="2:6" x14ac:dyDescent="0.2">
      <c r="B171" s="231" t="e">
        <f ca="1">IF(AND(Altitude_culmi&gt;80, Altitude_culmi&lt;=350), 27, NA())</f>
        <v>#N/A</v>
      </c>
      <c r="C171" s="5">
        <v>8</v>
      </c>
      <c r="D171" s="82">
        <f t="shared" ca="1" si="0"/>
        <v>457.66119991931424</v>
      </c>
      <c r="E171" s="82"/>
      <c r="F171" s="214">
        <f t="shared" ca="1" si="1"/>
        <v>426.66119991931424</v>
      </c>
    </row>
    <row r="172" spans="2:6" x14ac:dyDescent="0.2">
      <c r="B172" s="231" t="e">
        <f ca="1">IF(AND(Altitude_culmi&gt;80, Altitude_culmi&lt;=350), 29, NA())</f>
        <v>#N/A</v>
      </c>
      <c r="C172" s="5">
        <v>7.6</v>
      </c>
      <c r="D172" s="82">
        <f t="shared" ca="1" si="0"/>
        <v>457.26119991931427</v>
      </c>
      <c r="E172" s="82"/>
      <c r="F172" s="214">
        <f t="shared" ca="1" si="1"/>
        <v>441.66119991931424</v>
      </c>
    </row>
    <row r="173" spans="2:6" x14ac:dyDescent="0.2">
      <c r="B173" s="231" t="e">
        <f ca="1">IF(AND(Altitude_culmi&gt;80, Altitude_culmi&lt;=350), 31, NA())</f>
        <v>#N/A</v>
      </c>
      <c r="C173" s="5">
        <v>6.8</v>
      </c>
      <c r="D173" s="82">
        <f t="shared" ca="1" si="0"/>
        <v>456.46119991931425</v>
      </c>
      <c r="E173" s="82"/>
      <c r="F173" s="214">
        <f t="shared" ca="1" si="1"/>
        <v>442.06119991931422</v>
      </c>
    </row>
    <row r="174" spans="2:6" x14ac:dyDescent="0.2">
      <c r="B174" s="231" t="e">
        <f ca="1">IF(AND(Altitude_culmi&gt;80, Altitude_culmi&lt;=350), 32, NA())</f>
        <v>#N/A</v>
      </c>
      <c r="C174" s="5">
        <v>6</v>
      </c>
      <c r="D174" s="82">
        <f t="shared" ca="1" si="0"/>
        <v>455.66119991931424</v>
      </c>
      <c r="E174" s="82"/>
      <c r="F174" s="214">
        <f t="shared" ca="1" si="1"/>
        <v>442.86119991931423</v>
      </c>
    </row>
    <row r="175" spans="2:6" x14ac:dyDescent="0.2">
      <c r="B175" s="231" t="e">
        <f ca="1">IF(AND(Altitude_culmi&gt;80, Altitude_culmi&lt;=350), 33, NA())</f>
        <v>#N/A</v>
      </c>
      <c r="C175" s="5">
        <v>5</v>
      </c>
      <c r="D175" s="82">
        <f t="shared" ca="1" si="0"/>
        <v>454.66119991931424</v>
      </c>
      <c r="E175" s="82"/>
      <c r="F175" s="214">
        <f t="shared" ca="1" si="1"/>
        <v>443.66119991931424</v>
      </c>
    </row>
    <row r="176" spans="2:6" x14ac:dyDescent="0.2">
      <c r="B176" s="231" t="e">
        <f ca="1">IF(AND(Altitude_culmi&gt;80, Altitude_culmi&lt;=350), 34, NA())</f>
        <v>#N/A</v>
      </c>
      <c r="C176" s="5">
        <v>3.8</v>
      </c>
      <c r="D176" s="82">
        <f t="shared" ca="1" si="0"/>
        <v>453.46119991931425</v>
      </c>
      <c r="E176" s="82"/>
      <c r="F176" s="214">
        <f t="shared" ca="1" si="1"/>
        <v>444.66119991931424</v>
      </c>
    </row>
    <row r="177" spans="2:6" x14ac:dyDescent="0.2">
      <c r="B177" s="229" t="e">
        <f ca="1">IF(AND(Altitude_culmi&gt;80, Altitude_culmi&lt;=350), 35, NA())</f>
        <v>#N/A</v>
      </c>
      <c r="C177" s="421">
        <v>0</v>
      </c>
      <c r="D177" s="230">
        <f t="shared" ca="1" si="0"/>
        <v>449.66119991931424</v>
      </c>
      <c r="E177" s="82"/>
      <c r="F177" s="214">
        <f t="shared" ca="1" si="1"/>
        <v>445.86119991931423</v>
      </c>
    </row>
    <row r="178" spans="2:6" x14ac:dyDescent="0.2">
      <c r="E178" s="230"/>
      <c r="F178" s="216">
        <f t="shared" ca="1" si="1"/>
        <v>449.66119991931424</v>
      </c>
    </row>
    <row r="179" spans="2:6" x14ac:dyDescent="0.2">
      <c r="B179" s="210" t="s">
        <v>306</v>
      </c>
      <c r="C179" s="228" t="s">
        <v>307</v>
      </c>
      <c r="D179" s="228" t="s">
        <v>308</v>
      </c>
    </row>
    <row r="180" spans="2:6" x14ac:dyDescent="0.2">
      <c r="B180" s="231">
        <f ca="1">IF(Altitude_culmi&gt;350, 324, NA())</f>
        <v>324</v>
      </c>
      <c r="C180" s="5">
        <v>0</v>
      </c>
      <c r="D180" s="82">
        <f t="shared" ref="D180:D200" ca="1" si="2">X_culmi+C180</f>
        <v>449.66119991931424</v>
      </c>
      <c r="E180" s="228"/>
      <c r="F180" s="211" t="s">
        <v>308</v>
      </c>
    </row>
    <row r="181" spans="2:6" x14ac:dyDescent="0.2">
      <c r="B181" s="231">
        <f ca="1">IF(Altitude_culmi&gt;350, 300, NA())</f>
        <v>300</v>
      </c>
      <c r="C181" s="5">
        <v>0</v>
      </c>
      <c r="D181" s="82">
        <f t="shared" ca="1" si="2"/>
        <v>449.66119991931424</v>
      </c>
      <c r="E181" s="82"/>
      <c r="F181" s="214">
        <f t="shared" ref="F181:F201" ca="1" si="3">X_culmi-C180</f>
        <v>449.66119991931424</v>
      </c>
    </row>
    <row r="182" spans="2:6" x14ac:dyDescent="0.2">
      <c r="B182" s="231">
        <f ca="1">IF(Altitude_culmi&gt;350, 280, NA())</f>
        <v>280</v>
      </c>
      <c r="C182" s="5">
        <v>10</v>
      </c>
      <c r="D182" s="82">
        <f t="shared" ca="1" si="2"/>
        <v>459.66119991931424</v>
      </c>
      <c r="E182" s="82"/>
      <c r="F182" s="214">
        <f t="shared" ca="1" si="3"/>
        <v>449.66119991931424</v>
      </c>
    </row>
    <row r="183" spans="2:6" x14ac:dyDescent="0.2">
      <c r="B183" s="231">
        <f ca="1">IF(Altitude_culmi&gt;350, 280, NA())</f>
        <v>280</v>
      </c>
      <c r="C183" s="5">
        <v>0</v>
      </c>
      <c r="D183" s="82">
        <f t="shared" ca="1" si="2"/>
        <v>449.66119991931424</v>
      </c>
      <c r="E183" s="82"/>
      <c r="F183" s="214">
        <f t="shared" ca="1" si="3"/>
        <v>439.66119991931424</v>
      </c>
    </row>
    <row r="184" spans="2:6" x14ac:dyDescent="0.2">
      <c r="B184" s="231">
        <f ca="1">IF(Altitude_culmi&gt;350, 280, NA())</f>
        <v>280</v>
      </c>
      <c r="C184" s="5">
        <v>10</v>
      </c>
      <c r="D184" s="82">
        <f t="shared" ca="1" si="2"/>
        <v>459.66119991931424</v>
      </c>
      <c r="E184" s="82"/>
      <c r="F184" s="214">
        <f t="shared" ca="1" si="3"/>
        <v>449.66119991931424</v>
      </c>
    </row>
    <row r="185" spans="2:6" x14ac:dyDescent="0.2">
      <c r="B185" s="231">
        <f ca="1">IF(Altitude_culmi&gt;350, 200, NA())</f>
        <v>200</v>
      </c>
      <c r="C185" s="5">
        <v>13</v>
      </c>
      <c r="D185" s="82">
        <f t="shared" ca="1" si="2"/>
        <v>462.66119991931424</v>
      </c>
      <c r="E185" s="82"/>
      <c r="F185" s="214">
        <f t="shared" ca="1" si="3"/>
        <v>439.66119991931424</v>
      </c>
    </row>
    <row r="186" spans="2:6" x14ac:dyDescent="0.2">
      <c r="B186" s="231">
        <f ca="1">IF(Altitude_culmi&gt;350, 160, NA())</f>
        <v>160</v>
      </c>
      <c r="C186" s="5">
        <v>17</v>
      </c>
      <c r="D186" s="82">
        <f t="shared" ca="1" si="2"/>
        <v>466.66119991931424</v>
      </c>
      <c r="E186" s="82"/>
      <c r="F186" s="214">
        <f t="shared" ca="1" si="3"/>
        <v>436.66119991931424</v>
      </c>
    </row>
    <row r="187" spans="2:6" x14ac:dyDescent="0.2">
      <c r="B187" s="231">
        <f ca="1">IF(Altitude_culmi&gt;350, 115, NA())</f>
        <v>115</v>
      </c>
      <c r="C187" s="5">
        <v>20</v>
      </c>
      <c r="D187" s="82">
        <f t="shared" ca="1" si="2"/>
        <v>469.66119991931424</v>
      </c>
      <c r="E187" s="82"/>
      <c r="F187" s="214">
        <f t="shared" ca="1" si="3"/>
        <v>432.66119991931424</v>
      </c>
    </row>
    <row r="188" spans="2:6" x14ac:dyDescent="0.2">
      <c r="B188" s="231">
        <f ca="1">IF(Altitude_culmi&gt;350, 90, NA())</f>
        <v>90</v>
      </c>
      <c r="C188" s="5">
        <v>25</v>
      </c>
      <c r="D188" s="82">
        <f t="shared" ca="1" si="2"/>
        <v>474.66119991931424</v>
      </c>
      <c r="E188" s="82"/>
      <c r="F188" s="214">
        <f t="shared" ca="1" si="3"/>
        <v>429.66119991931424</v>
      </c>
    </row>
    <row r="189" spans="2:6" x14ac:dyDescent="0.2">
      <c r="B189" s="231">
        <f ca="1">IF(Altitude_culmi&gt;350, 57, NA())</f>
        <v>57</v>
      </c>
      <c r="C189" s="5">
        <v>30</v>
      </c>
      <c r="D189" s="82">
        <f t="shared" ca="1" si="2"/>
        <v>479.66119991931424</v>
      </c>
      <c r="E189" s="82"/>
      <c r="F189" s="214">
        <f t="shared" ca="1" si="3"/>
        <v>424.66119991931424</v>
      </c>
    </row>
    <row r="190" spans="2:6" x14ac:dyDescent="0.2">
      <c r="B190" s="231">
        <f ca="1">IF(Altitude_culmi&gt;350, 40, NA())</f>
        <v>40</v>
      </c>
      <c r="C190" s="5">
        <v>36</v>
      </c>
      <c r="D190" s="82">
        <f t="shared" ca="1" si="2"/>
        <v>485.66119991931424</v>
      </c>
      <c r="E190" s="82"/>
      <c r="F190" s="214">
        <f t="shared" ca="1" si="3"/>
        <v>419.66119991931424</v>
      </c>
    </row>
    <row r="191" spans="2:6" x14ac:dyDescent="0.2">
      <c r="B191" s="231">
        <f ca="1">IF(Altitude_culmi&gt;350, 20, NA())</f>
        <v>20</v>
      </c>
      <c r="C191" s="5">
        <v>48</v>
      </c>
      <c r="D191" s="82">
        <f t="shared" ca="1" si="2"/>
        <v>497.66119991931424</v>
      </c>
      <c r="E191" s="82"/>
      <c r="F191" s="214">
        <f t="shared" ca="1" si="3"/>
        <v>413.66119991931424</v>
      </c>
    </row>
    <row r="192" spans="2:6" x14ac:dyDescent="0.2">
      <c r="B192" s="231">
        <f ca="1">IF(Altitude_culmi&gt;350, 0.5, NA())</f>
        <v>0.5</v>
      </c>
      <c r="C192" s="5">
        <v>62</v>
      </c>
      <c r="D192" s="82">
        <f t="shared" ca="1" si="2"/>
        <v>511.66119991931424</v>
      </c>
      <c r="E192" s="82"/>
      <c r="F192" s="214">
        <f t="shared" ca="1" si="3"/>
        <v>401.66119991931424</v>
      </c>
    </row>
    <row r="193" spans="2:6" x14ac:dyDescent="0.2">
      <c r="B193" s="231">
        <f ca="1">IF(Altitude_culmi&gt;350, 0.5, NA())</f>
        <v>0.5</v>
      </c>
      <c r="C193" s="5">
        <v>37</v>
      </c>
      <c r="D193" s="82">
        <f t="shared" ca="1" si="2"/>
        <v>486.66119991931424</v>
      </c>
      <c r="E193" s="82"/>
      <c r="F193" s="214">
        <f t="shared" ca="1" si="3"/>
        <v>387.66119991931424</v>
      </c>
    </row>
    <row r="194" spans="2:6" x14ac:dyDescent="0.2">
      <c r="B194" s="231">
        <f ca="1">IF(Altitude_culmi&gt;350, 15, NA())</f>
        <v>15</v>
      </c>
      <c r="C194" s="5">
        <v>30</v>
      </c>
      <c r="D194" s="82">
        <f t="shared" ca="1" si="2"/>
        <v>479.66119991931424</v>
      </c>
      <c r="E194" s="82"/>
      <c r="F194" s="214">
        <f t="shared" ca="1" si="3"/>
        <v>412.66119991931424</v>
      </c>
    </row>
    <row r="195" spans="2:6" x14ac:dyDescent="0.2">
      <c r="B195" s="231">
        <f ca="1">IF(Altitude_culmi&gt;350, 30, NA())</f>
        <v>30</v>
      </c>
      <c r="C195" s="5">
        <v>15</v>
      </c>
      <c r="D195" s="82">
        <f t="shared" ca="1" si="2"/>
        <v>464.66119991931424</v>
      </c>
      <c r="E195" s="82"/>
      <c r="F195" s="214">
        <f t="shared" ca="1" si="3"/>
        <v>419.66119991931424</v>
      </c>
    </row>
    <row r="196" spans="2:6" x14ac:dyDescent="0.2">
      <c r="B196" s="231">
        <f ca="1">IF(Altitude_culmi&gt;350, 37, NA())</f>
        <v>37</v>
      </c>
      <c r="C196" s="5">
        <v>0</v>
      </c>
      <c r="D196" s="82">
        <f t="shared" ca="1" si="2"/>
        <v>449.66119991931424</v>
      </c>
      <c r="E196" s="82"/>
      <c r="F196" s="214">
        <f t="shared" ca="1" si="3"/>
        <v>434.66119991931424</v>
      </c>
    </row>
    <row r="197" spans="2:6" x14ac:dyDescent="0.2">
      <c r="B197" s="231">
        <f ca="1">IF(Altitude_culmi&gt;350, 67, NA())</f>
        <v>67</v>
      </c>
      <c r="C197" s="5">
        <v>0</v>
      </c>
      <c r="D197" s="82">
        <f t="shared" ca="1" si="2"/>
        <v>449.66119991931424</v>
      </c>
      <c r="E197" s="82"/>
      <c r="F197" s="214">
        <f t="shared" ca="1" si="3"/>
        <v>449.66119991931424</v>
      </c>
    </row>
    <row r="198" spans="2:6" x14ac:dyDescent="0.2">
      <c r="B198" s="231">
        <f ca="1">IF(Altitude_culmi&gt;350, 67, NA())</f>
        <v>67</v>
      </c>
      <c r="C198" s="5">
        <v>17</v>
      </c>
      <c r="D198" s="82">
        <f t="shared" ca="1" si="2"/>
        <v>466.66119991931424</v>
      </c>
      <c r="E198" s="82"/>
      <c r="F198" s="214">
        <f t="shared" ca="1" si="3"/>
        <v>449.66119991931424</v>
      </c>
    </row>
    <row r="199" spans="2:6" x14ac:dyDescent="0.2">
      <c r="B199" s="231">
        <f ca="1">IF(Altitude_culmi&gt;350, 100, NA())</f>
        <v>100</v>
      </c>
      <c r="C199" s="5">
        <v>11</v>
      </c>
      <c r="D199" s="82">
        <f t="shared" ca="1" si="2"/>
        <v>460.66119991931424</v>
      </c>
      <c r="E199" s="82"/>
      <c r="F199" s="214">
        <f t="shared" ca="1" si="3"/>
        <v>432.66119991931424</v>
      </c>
    </row>
    <row r="200" spans="2:6" x14ac:dyDescent="0.2">
      <c r="B200" s="229">
        <f ca="1">IF(Altitude_culmi&gt;350, 100, NA())</f>
        <v>100</v>
      </c>
      <c r="C200" s="421">
        <v>0</v>
      </c>
      <c r="D200" s="230">
        <f t="shared" ca="1" si="2"/>
        <v>449.66119991931424</v>
      </c>
      <c r="E200" s="82"/>
      <c r="F200" s="214">
        <f t="shared" ca="1" si="3"/>
        <v>438.66119991931424</v>
      </c>
    </row>
    <row r="201" spans="2:6" x14ac:dyDescent="0.2">
      <c r="E201" s="230"/>
      <c r="F201" s="216">
        <f t="shared" ca="1" si="3"/>
        <v>449.66119991931424</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C10:D10"/>
    <mergeCell ref="C5:D5"/>
    <mergeCell ref="C2:D3"/>
    <mergeCell ref="C7:D7"/>
    <mergeCell ref="C8:D8"/>
    <mergeCell ref="C9:D9"/>
    <mergeCell ref="C6:D6"/>
    <mergeCell ref="C4:D4"/>
    <mergeCell ref="H35:I35"/>
    <mergeCell ref="H34:I34"/>
    <mergeCell ref="F29:G29"/>
    <mergeCell ref="H33:I33"/>
    <mergeCell ref="A40:D40"/>
    <mergeCell ref="H36:I36"/>
    <mergeCell ref="F36:G36"/>
    <mergeCell ref="F35:G35"/>
    <mergeCell ref="F34:G34"/>
    <mergeCell ref="F40:G40"/>
    <mergeCell ref="C23:D23"/>
    <mergeCell ref="C18:D18"/>
    <mergeCell ref="F24:G24"/>
    <mergeCell ref="F28:G28"/>
    <mergeCell ref="F27:G27"/>
    <mergeCell ref="F25:G25"/>
    <mergeCell ref="F26:G26"/>
    <mergeCell ref="C16:D16"/>
    <mergeCell ref="C11:D11"/>
    <mergeCell ref="C20:D20"/>
    <mergeCell ref="C21:D21"/>
    <mergeCell ref="C12:D12"/>
    <mergeCell ref="C14:D14"/>
    <mergeCell ref="C15:D15"/>
    <mergeCell ref="C19:D19"/>
    <mergeCell ref="F51:G51"/>
    <mergeCell ref="F42:G42"/>
    <mergeCell ref="F43:G43"/>
    <mergeCell ref="F44:G44"/>
    <mergeCell ref="F45:G45"/>
    <mergeCell ref="F50:G50"/>
    <mergeCell ref="F46:G46"/>
    <mergeCell ref="F47:G47"/>
    <mergeCell ref="F49:G49"/>
    <mergeCell ref="F48:G48"/>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28575</xdr:colOff>
                <xdr:row>94</xdr:row>
                <xdr:rowOff>76200</xdr:rowOff>
              </from>
              <to>
                <xdr:col>3</xdr:col>
                <xdr:colOff>762000</xdr:colOff>
                <xdr:row>100</xdr:row>
                <xdr:rowOff>95250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161925</xdr:rowOff>
                  </from>
                  <to>
                    <xdr:col>4</xdr:col>
                    <xdr:colOff>0</xdr:colOff>
                    <xdr:row>11</xdr:row>
                    <xdr:rowOff>9525</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9525</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9525</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9525</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9525</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baseColWidth="10" defaultRowHeight="12.75" x14ac:dyDescent="0.2"/>
  <sheetData>
    <row r="75" spans="2:2" x14ac:dyDescent="0.2">
      <c r="B75" t="s">
        <v>43</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24"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zoomScale="80" zoomScaleNormal="80" workbookViewId="0">
      <selection activeCell="R15" sqref="R15"/>
    </sheetView>
  </sheetViews>
  <sheetFormatPr baseColWidth="10" defaultRowHeight="12.75" x14ac:dyDescent="0.2"/>
  <cols>
    <col min="1" max="1" width="22.5703125" bestFit="1" customWidth="1"/>
  </cols>
  <sheetData>
    <row r="1" spans="1:26" ht="13.5" thickBot="1" x14ac:dyDescent="0.25">
      <c r="A1" s="362" t="str">
        <f>IF(Lang="Français","Moteur sélectionné","Selected motor")</f>
        <v>Moteur sélectionné</v>
      </c>
      <c r="B1" s="362" t="s">
        <v>32</v>
      </c>
    </row>
    <row r="2" spans="1:26" ht="13.5" thickBot="1" x14ac:dyDescent="0.25">
      <c r="A2" s="352" t="str">
        <f>Propu</f>
        <v>Pandora (Pro24-6G BS)</v>
      </c>
      <c r="B2" s="352">
        <f>VLOOKUP(A2,A26:B314,2,FALSE)</f>
        <v>198</v>
      </c>
      <c r="C2" s="363" t="s">
        <v>115</v>
      </c>
      <c r="D2" s="353">
        <f ca="1">INDIRECT(ADDRESS(B2,4))</f>
        <v>142.44</v>
      </c>
      <c r="E2" s="363" t="s">
        <v>114</v>
      </c>
      <c r="F2" s="354">
        <f ca="1">INDIRECT(ADDRESS(B2,6))</f>
        <v>192.06187401906058</v>
      </c>
      <c r="G2" s="363" t="s">
        <v>56</v>
      </c>
      <c r="H2" s="355">
        <f ca="1">INDIRECT(ADDRESS(B2,8))</f>
        <v>0.15989999999999999</v>
      </c>
      <c r="I2" s="363" t="s">
        <v>273</v>
      </c>
      <c r="J2" s="356">
        <f ca="1">INDIRECT(ADDRESS(B2,10))</f>
        <v>7.5599999999999987E-2</v>
      </c>
      <c r="K2" s="363" t="s">
        <v>58</v>
      </c>
      <c r="L2" s="355">
        <f ca="1">INDIRECT(ADDRESS(B2,12))</f>
        <v>8.43E-2</v>
      </c>
      <c r="M2" s="363" t="s">
        <v>57</v>
      </c>
      <c r="N2" s="357">
        <f ca="1">INDIRECT(ADDRESS(B2,14))</f>
        <v>114</v>
      </c>
      <c r="O2" s="363" t="s">
        <v>59</v>
      </c>
      <c r="P2" s="357">
        <f ca="1">INDIRECT(ADDRESS(B2,16))</f>
        <v>114</v>
      </c>
      <c r="Q2" s="363" t="s">
        <v>60</v>
      </c>
      <c r="R2" s="357">
        <f ca="1">INDIRECT(ADDRESS(B2,18))</f>
        <v>228</v>
      </c>
      <c r="S2" s="363" t="s">
        <v>61</v>
      </c>
      <c r="T2" s="357">
        <f ca="1">INDIRECT(ADDRESS(B2,20))</f>
        <v>24</v>
      </c>
      <c r="U2" s="363" t="s">
        <v>54</v>
      </c>
      <c r="V2" s="358" t="str">
        <f ca="1">INDIRECT(ADDRESS(B2,22))</f>
        <v>MiniN</v>
      </c>
      <c r="W2" s="463" t="s">
        <v>394</v>
      </c>
      <c r="X2" s="464">
        <f ca="1">INDIRECT(ADDRESS(B2,24))</f>
        <v>0.97</v>
      </c>
      <c r="Y2" s="463" t="s">
        <v>393</v>
      </c>
      <c r="Z2" s="358">
        <f ca="1">INDIRECT(ADDRESS(B2,26))</f>
        <v>13</v>
      </c>
    </row>
    <row r="3" spans="1:26" x14ac:dyDescent="0.2">
      <c r="A3" s="362" t="str">
        <f>IF(Lang="Français","Temps (en s)","Time (s)")</f>
        <v>Temps (en s)</v>
      </c>
      <c r="B3" s="364">
        <f t="shared" ref="B3:Y3" ca="1" si="0">INDIRECT(ADDRESS($B2+1,COLUMN(B3)))</f>
        <v>0</v>
      </c>
      <c r="C3" s="365">
        <f t="shared" ca="1" si="0"/>
        <v>0.02</v>
      </c>
      <c r="D3" s="365">
        <f t="shared" ca="1" si="0"/>
        <v>0.04</v>
      </c>
      <c r="E3" s="365">
        <f t="shared" ca="1" si="0"/>
        <v>0.62</v>
      </c>
      <c r="F3" s="365">
        <f t="shared" ca="1" si="0"/>
        <v>0.66</v>
      </c>
      <c r="G3" s="365">
        <f t="shared" ca="1" si="0"/>
        <v>0.68</v>
      </c>
      <c r="H3" s="365">
        <f t="shared" ca="1" si="0"/>
        <v>0.8</v>
      </c>
      <c r="I3" s="365">
        <f t="shared" ca="1" si="0"/>
        <v>0.84</v>
      </c>
      <c r="J3" s="365">
        <f t="shared" ca="1" si="0"/>
        <v>0.88</v>
      </c>
      <c r="K3" s="365">
        <f t="shared" ca="1" si="0"/>
        <v>0.92</v>
      </c>
      <c r="L3" s="365">
        <f t="shared" ca="1" si="0"/>
        <v>0.96</v>
      </c>
      <c r="M3" s="365">
        <f t="shared" ca="1" si="0"/>
        <v>1</v>
      </c>
      <c r="N3" s="365">
        <f t="shared" ca="1" si="0"/>
        <v>1.08</v>
      </c>
      <c r="O3" s="365">
        <f t="shared" ca="1" si="0"/>
        <v>2</v>
      </c>
      <c r="P3" s="365">
        <f t="shared" ca="1" si="0"/>
        <v>2</v>
      </c>
      <c r="Q3" s="365">
        <f t="shared" ca="1" si="0"/>
        <v>2</v>
      </c>
      <c r="R3" s="365">
        <f t="shared" ca="1" si="0"/>
        <v>2</v>
      </c>
      <c r="S3" s="365">
        <f t="shared" ca="1" si="0"/>
        <v>2</v>
      </c>
      <c r="T3" s="365">
        <f t="shared" ca="1" si="0"/>
        <v>2</v>
      </c>
      <c r="U3" s="365">
        <f t="shared" ca="1" si="0"/>
        <v>2</v>
      </c>
      <c r="V3" s="365">
        <f t="shared" ca="1" si="0"/>
        <v>2</v>
      </c>
      <c r="W3" s="365">
        <f t="shared" ca="1" si="0"/>
        <v>2</v>
      </c>
      <c r="X3" s="365">
        <f ca="1">INDIRECT(ADDRESS($B2+1,COLUMN(X3)))</f>
        <v>2</v>
      </c>
      <c r="Y3" s="366">
        <f t="shared" ca="1" si="0"/>
        <v>1000</v>
      </c>
    </row>
    <row r="4" spans="1:26" ht="13.5" thickBot="1" x14ac:dyDescent="0.25">
      <c r="A4" s="379" t="str">
        <f>IF(Lang="Français","Poussée (en N)","Thrust (N)")</f>
        <v>Poussée (en N)</v>
      </c>
      <c r="B4" s="367">
        <f t="shared" ref="B4:Y4" ca="1" si="1">INDIRECT(ADDRESS($B2+2,COLUMN(B3)))</f>
        <v>0</v>
      </c>
      <c r="C4" s="368">
        <f t="shared" ca="1" si="1"/>
        <v>250</v>
      </c>
      <c r="D4" s="368">
        <f t="shared" ca="1" si="1"/>
        <v>210</v>
      </c>
      <c r="E4" s="368">
        <f t="shared" ca="1" si="1"/>
        <v>160</v>
      </c>
      <c r="F4" s="368">
        <f t="shared" ca="1" si="1"/>
        <v>150</v>
      </c>
      <c r="G4" s="368">
        <f t="shared" ca="1" si="1"/>
        <v>142</v>
      </c>
      <c r="H4" s="368">
        <f t="shared" ca="1" si="1"/>
        <v>62</v>
      </c>
      <c r="I4" s="368">
        <f t="shared" ca="1" si="1"/>
        <v>48</v>
      </c>
      <c r="J4" s="368">
        <f t="shared" ca="1" si="1"/>
        <v>34</v>
      </c>
      <c r="K4" s="368">
        <f t="shared" ca="1" si="1"/>
        <v>24</v>
      </c>
      <c r="L4" s="368">
        <f t="shared" ca="1" si="1"/>
        <v>15</v>
      </c>
      <c r="M4" s="368">
        <f t="shared" ca="1" si="1"/>
        <v>10</v>
      </c>
      <c r="N4" s="368">
        <f t="shared" ca="1" si="1"/>
        <v>0</v>
      </c>
      <c r="O4" s="368">
        <f t="shared" ca="1" si="1"/>
        <v>0</v>
      </c>
      <c r="P4" s="368">
        <f t="shared" ca="1" si="1"/>
        <v>0</v>
      </c>
      <c r="Q4" s="368">
        <f t="shared" ca="1" si="1"/>
        <v>0</v>
      </c>
      <c r="R4" s="368">
        <f t="shared" ca="1" si="1"/>
        <v>0</v>
      </c>
      <c r="S4" s="368">
        <f t="shared" ca="1" si="1"/>
        <v>0</v>
      </c>
      <c r="T4" s="368">
        <f t="shared" ca="1" si="1"/>
        <v>0</v>
      </c>
      <c r="U4" s="368">
        <f t="shared" ca="1" si="1"/>
        <v>0</v>
      </c>
      <c r="V4" s="368">
        <f t="shared" ca="1" si="1"/>
        <v>0</v>
      </c>
      <c r="W4" s="368">
        <f t="shared" ca="1" si="1"/>
        <v>0</v>
      </c>
      <c r="X4" s="368">
        <f ca="1">INDIRECT(ADDRESS($B2+2,COLUMN(X3)))</f>
        <v>0</v>
      </c>
      <c r="Y4" s="369">
        <f t="shared" ca="1" si="1"/>
        <v>0</v>
      </c>
    </row>
    <row r="5" spans="1:26" x14ac:dyDescent="0.2">
      <c r="B5" s="12"/>
      <c r="C5" s="12"/>
      <c r="D5" s="12"/>
      <c r="E5" s="12"/>
      <c r="F5" s="12"/>
      <c r="G5" s="12"/>
      <c r="H5" s="12"/>
      <c r="I5" s="12"/>
      <c r="J5" s="12"/>
      <c r="K5" s="12"/>
      <c r="L5" s="12"/>
      <c r="M5" s="12"/>
      <c r="N5" s="12"/>
      <c r="O5" s="12"/>
      <c r="P5" s="12"/>
      <c r="Q5" s="12"/>
      <c r="R5" s="12"/>
      <c r="S5" s="12"/>
      <c r="T5" s="12"/>
      <c r="U5" s="12"/>
      <c r="V5" s="12"/>
      <c r="W5" s="12"/>
      <c r="X5" s="12"/>
      <c r="Y5" s="12"/>
    </row>
    <row r="6" spans="1:26" x14ac:dyDescent="0.2">
      <c r="B6" s="12"/>
      <c r="C6" s="12"/>
      <c r="D6" s="12"/>
      <c r="E6" s="12"/>
      <c r="F6" s="12"/>
      <c r="G6" s="12"/>
      <c r="H6" s="12"/>
      <c r="I6" s="12"/>
      <c r="J6" s="12"/>
      <c r="K6" s="12"/>
      <c r="L6" s="12"/>
      <c r="M6" s="12"/>
      <c r="N6" s="12"/>
      <c r="O6" s="12"/>
      <c r="P6" s="12"/>
      <c r="Q6" s="12"/>
      <c r="R6" s="12"/>
      <c r="S6" s="12"/>
      <c r="T6" s="12"/>
      <c r="U6" s="12"/>
      <c r="V6" s="12"/>
      <c r="W6" s="12"/>
      <c r="X6" s="12"/>
      <c r="Y6" s="12"/>
    </row>
    <row r="7" spans="1:26" x14ac:dyDescent="0.2">
      <c r="B7" s="12"/>
      <c r="C7" s="12"/>
      <c r="D7" s="12"/>
      <c r="E7" s="12"/>
      <c r="F7" s="12"/>
      <c r="G7" s="12"/>
      <c r="H7" s="12"/>
      <c r="I7" s="12"/>
      <c r="J7" s="12"/>
      <c r="K7" s="12"/>
      <c r="L7" s="12"/>
      <c r="M7" s="12"/>
    </row>
    <row r="8" spans="1:26" x14ac:dyDescent="0.2">
      <c r="B8" s="12"/>
      <c r="C8" s="12"/>
      <c r="D8" s="12"/>
      <c r="E8" s="12"/>
      <c r="F8" s="12"/>
      <c r="G8" s="12"/>
      <c r="H8" s="12"/>
      <c r="I8" s="12"/>
      <c r="J8" s="12"/>
      <c r="K8" s="12"/>
      <c r="L8" s="12"/>
      <c r="M8" s="12"/>
    </row>
    <row r="9" spans="1:26" x14ac:dyDescent="0.2">
      <c r="B9" s="12"/>
      <c r="C9" s="12"/>
      <c r="D9" s="12"/>
      <c r="E9" s="12"/>
      <c r="F9" s="12"/>
      <c r="G9" s="12"/>
      <c r="H9" s="12"/>
      <c r="I9" s="12"/>
      <c r="J9" s="12"/>
      <c r="K9" s="12"/>
      <c r="L9" s="12"/>
      <c r="M9" s="12"/>
    </row>
    <row r="10" spans="1:26" x14ac:dyDescent="0.2">
      <c r="B10" s="12"/>
      <c r="C10" s="12"/>
      <c r="D10" s="12"/>
      <c r="E10" s="12"/>
      <c r="F10" s="12"/>
      <c r="G10" s="12"/>
      <c r="H10" s="12"/>
      <c r="I10" s="12"/>
      <c r="J10" s="12"/>
    </row>
    <row r="11" spans="1:26" x14ac:dyDescent="0.2">
      <c r="B11" s="12"/>
      <c r="C11" s="12"/>
      <c r="D11" s="12"/>
      <c r="E11" s="12"/>
      <c r="F11" s="12"/>
      <c r="G11" s="12"/>
      <c r="H11" s="12"/>
      <c r="I11" s="12"/>
      <c r="J11" s="12"/>
    </row>
    <row r="12" spans="1:26" x14ac:dyDescent="0.2">
      <c r="B12" s="12"/>
      <c r="C12" s="12"/>
      <c r="D12" s="12"/>
      <c r="E12" s="12"/>
      <c r="F12" s="12"/>
      <c r="G12" s="12"/>
      <c r="H12" s="12"/>
      <c r="I12" s="12"/>
      <c r="J12" s="12"/>
    </row>
    <row r="13" spans="1:26" x14ac:dyDescent="0.2">
      <c r="B13" s="12"/>
      <c r="C13" s="12"/>
      <c r="D13" s="12"/>
      <c r="E13" s="12"/>
      <c r="F13" s="12"/>
      <c r="G13" s="12"/>
      <c r="H13" s="12"/>
      <c r="I13" s="12"/>
      <c r="J13" s="12"/>
    </row>
    <row r="14" spans="1:26" x14ac:dyDescent="0.2">
      <c r="B14" s="12"/>
      <c r="C14" s="12"/>
      <c r="D14" s="12"/>
      <c r="E14" s="12"/>
      <c r="F14" s="12"/>
      <c r="G14" s="12"/>
      <c r="H14" s="12"/>
      <c r="I14" s="12"/>
      <c r="J14" s="12"/>
    </row>
    <row r="15" spans="1:26" x14ac:dyDescent="0.2">
      <c r="B15" s="12"/>
      <c r="C15" s="12"/>
      <c r="D15" s="12"/>
      <c r="E15" s="12"/>
      <c r="F15" s="12"/>
      <c r="G15" s="12"/>
      <c r="H15" s="12"/>
      <c r="I15" s="12"/>
      <c r="J15" s="12"/>
      <c r="K15" s="12"/>
      <c r="L15" s="12"/>
      <c r="M15" s="12"/>
    </row>
    <row r="16" spans="1:26" x14ac:dyDescent="0.2">
      <c r="B16" s="12"/>
      <c r="C16" s="12"/>
      <c r="D16" s="12"/>
      <c r="E16" s="12"/>
      <c r="F16" s="12"/>
      <c r="G16" s="12"/>
      <c r="H16" s="12"/>
      <c r="I16" s="12"/>
      <c r="J16" s="12"/>
      <c r="K16" s="12"/>
      <c r="L16" s="12"/>
      <c r="M16" s="12"/>
    </row>
    <row r="17" spans="1:25" x14ac:dyDescent="0.2">
      <c r="B17" s="12"/>
      <c r="C17" s="12"/>
      <c r="D17" s="12"/>
      <c r="E17" s="12"/>
      <c r="F17" s="12"/>
      <c r="G17" s="12"/>
      <c r="H17" s="12"/>
      <c r="I17" s="12"/>
      <c r="J17" s="12"/>
      <c r="K17" s="12"/>
      <c r="L17" s="12"/>
      <c r="M17" s="12"/>
    </row>
    <row r="18" spans="1:25"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5" thickBot="1" x14ac:dyDescent="0.25">
      <c r="A25" s="6" t="s">
        <v>276</v>
      </c>
    </row>
    <row r="26" spans="1:25" ht="13.5" thickBot="1" x14ac:dyDescent="0.25">
      <c r="A26" s="361" t="s">
        <v>309</v>
      </c>
      <c r="B26" s="359">
        <f>ROW(A26)</f>
        <v>26</v>
      </c>
      <c r="C26" s="363" t="s">
        <v>115</v>
      </c>
      <c r="D26" s="353">
        <f>SUM(B29:Y29)</f>
        <v>9.8449999999999989</v>
      </c>
      <c r="E26" s="363" t="s">
        <v>114</v>
      </c>
      <c r="F26" s="399">
        <f>D26/g/J26</f>
        <v>3.3452259599048584</v>
      </c>
      <c r="G26" s="363" t="s">
        <v>56</v>
      </c>
      <c r="H26" s="64">
        <v>0.3</v>
      </c>
      <c r="I26" s="363" t="s">
        <v>271</v>
      </c>
      <c r="J26" s="355">
        <f>H26-L26</f>
        <v>0.3</v>
      </c>
      <c r="K26" s="363" t="s">
        <v>272</v>
      </c>
      <c r="L26" s="64">
        <v>0</v>
      </c>
      <c r="M26" s="363" t="s">
        <v>57</v>
      </c>
      <c r="N26" s="65">
        <f>0.2*R26</f>
        <v>60</v>
      </c>
      <c r="O26" s="363" t="s">
        <v>59</v>
      </c>
      <c r="P26" s="65">
        <v>150</v>
      </c>
      <c r="Q26" s="363" t="s">
        <v>60</v>
      </c>
      <c r="R26" s="65">
        <v>300</v>
      </c>
      <c r="S26" s="363" t="s">
        <v>61</v>
      </c>
      <c r="T26" s="65">
        <v>90</v>
      </c>
      <c r="U26" s="363" t="s">
        <v>54</v>
      </c>
      <c r="V26" s="66" t="s">
        <v>276</v>
      </c>
      <c r="W26" s="12"/>
      <c r="X26" s="12"/>
      <c r="Y26" s="12"/>
    </row>
    <row r="27" spans="1:25" x14ac:dyDescent="0.2">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5" thickBot="1" x14ac:dyDescent="0.2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5" thickBot="1" x14ac:dyDescent="0.25">
      <c r="A30" s="12"/>
      <c r="L30" s="12"/>
      <c r="M30" s="12"/>
      <c r="N30" s="12"/>
      <c r="O30" s="12"/>
      <c r="P30" s="12"/>
      <c r="Q30" s="12"/>
      <c r="R30" s="12"/>
      <c r="S30" s="12"/>
      <c r="T30" s="12"/>
      <c r="U30" s="12"/>
      <c r="V30" s="12"/>
      <c r="W30" s="12"/>
      <c r="X30" s="12"/>
      <c r="Y30" s="12"/>
    </row>
    <row r="31" spans="1:25" ht="13.5" thickBot="1" x14ac:dyDescent="0.25">
      <c r="A31" s="361" t="s">
        <v>310</v>
      </c>
      <c r="B31" s="359">
        <f>ROW(A31)</f>
        <v>31</v>
      </c>
      <c r="C31" s="363" t="s">
        <v>115</v>
      </c>
      <c r="D31" s="353">
        <f>SUM(B34:Y34)</f>
        <v>13.814500000000002</v>
      </c>
      <c r="E31" s="363" t="s">
        <v>114</v>
      </c>
      <c r="F31" s="399">
        <f>D31/g/J31</f>
        <v>3.1293464718541175</v>
      </c>
      <c r="G31" s="363" t="s">
        <v>56</v>
      </c>
      <c r="H31" s="64">
        <v>0.45</v>
      </c>
      <c r="I31" s="363" t="s">
        <v>271</v>
      </c>
      <c r="J31" s="355">
        <f>H31-L31</f>
        <v>0.45</v>
      </c>
      <c r="K31" s="363" t="s">
        <v>272</v>
      </c>
      <c r="L31" s="64">
        <v>0</v>
      </c>
      <c r="M31" s="363" t="s">
        <v>57</v>
      </c>
      <c r="N31" s="65">
        <f>0.3*R31</f>
        <v>90</v>
      </c>
      <c r="O31" s="363" t="s">
        <v>59</v>
      </c>
      <c r="P31" s="65">
        <v>150</v>
      </c>
      <c r="Q31" s="363" t="s">
        <v>60</v>
      </c>
      <c r="R31" s="65">
        <v>300</v>
      </c>
      <c r="S31" s="363" t="s">
        <v>61</v>
      </c>
      <c r="T31" s="65">
        <v>90</v>
      </c>
      <c r="U31" s="363" t="s">
        <v>54</v>
      </c>
      <c r="V31" s="66" t="s">
        <v>276</v>
      </c>
      <c r="W31" s="12"/>
      <c r="X31" s="12"/>
      <c r="Y31" s="12"/>
    </row>
    <row r="32" spans="1:25" x14ac:dyDescent="0.2">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5" thickBot="1" x14ac:dyDescent="0.2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5" thickBo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5" thickBot="1" x14ac:dyDescent="0.25">
      <c r="A36" s="361" t="s">
        <v>311</v>
      </c>
      <c r="B36" s="359">
        <f>ROW(A36)</f>
        <v>36</v>
      </c>
      <c r="C36" s="363" t="s">
        <v>115</v>
      </c>
      <c r="D36" s="353">
        <f>SUM(B39:Y39)</f>
        <v>17.144499999999997</v>
      </c>
      <c r="E36" s="363" t="s">
        <v>114</v>
      </c>
      <c r="F36" s="399">
        <f>D36/g/J36</f>
        <v>2.9127590893645934</v>
      </c>
      <c r="G36" s="363" t="s">
        <v>56</v>
      </c>
      <c r="H36" s="64">
        <v>0.6</v>
      </c>
      <c r="I36" s="363" t="s">
        <v>271</v>
      </c>
      <c r="J36" s="355">
        <f>H36-L36</f>
        <v>0.6</v>
      </c>
      <c r="K36" s="363" t="s">
        <v>272</v>
      </c>
      <c r="L36" s="64">
        <v>0</v>
      </c>
      <c r="M36" s="363" t="s">
        <v>57</v>
      </c>
      <c r="N36" s="65">
        <f>0.4*R36</f>
        <v>120</v>
      </c>
      <c r="O36" s="363" t="s">
        <v>59</v>
      </c>
      <c r="P36" s="65">
        <v>150</v>
      </c>
      <c r="Q36" s="363" t="s">
        <v>60</v>
      </c>
      <c r="R36" s="65">
        <v>300</v>
      </c>
      <c r="S36" s="363" t="s">
        <v>61</v>
      </c>
      <c r="T36" s="65">
        <v>90</v>
      </c>
      <c r="U36" s="363" t="s">
        <v>54</v>
      </c>
      <c r="V36" s="66" t="s">
        <v>276</v>
      </c>
      <c r="W36" s="12"/>
      <c r="X36" s="12"/>
      <c r="Y36" s="12"/>
    </row>
    <row r="37" spans="1:25" x14ac:dyDescent="0.2">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5" thickBot="1" x14ac:dyDescent="0.2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5" thickBot="1" x14ac:dyDescent="0.25">
      <c r="A40" s="12"/>
      <c r="L40" s="12"/>
      <c r="M40" s="12"/>
      <c r="N40" s="12"/>
      <c r="O40" s="12"/>
      <c r="P40" s="12"/>
      <c r="Q40" s="12"/>
      <c r="R40" s="12"/>
      <c r="S40" s="12"/>
      <c r="T40" s="12"/>
      <c r="U40" s="12"/>
      <c r="V40" s="12"/>
      <c r="W40" s="12"/>
      <c r="X40" s="12"/>
      <c r="Y40" s="12"/>
    </row>
    <row r="41" spans="1:25" ht="13.5" thickBot="1" x14ac:dyDescent="0.25">
      <c r="A41" s="361" t="s">
        <v>312</v>
      </c>
      <c r="B41" s="359">
        <f>ROW(A41)</f>
        <v>41</v>
      </c>
      <c r="C41" s="363" t="s">
        <v>115</v>
      </c>
      <c r="D41" s="353">
        <f>SUM(B44:Y44)</f>
        <v>19.415000000000003</v>
      </c>
      <c r="E41" s="363" t="s">
        <v>114</v>
      </c>
      <c r="F41" s="399">
        <f>D41/g/J41</f>
        <v>2.6388039415562354</v>
      </c>
      <c r="G41" s="363" t="s">
        <v>56</v>
      </c>
      <c r="H41" s="64">
        <v>0.75</v>
      </c>
      <c r="I41" s="363" t="s">
        <v>271</v>
      </c>
      <c r="J41" s="355">
        <f>H41-L41</f>
        <v>0.75</v>
      </c>
      <c r="K41" s="363" t="s">
        <v>272</v>
      </c>
      <c r="L41" s="64">
        <v>0</v>
      </c>
      <c r="M41" s="363" t="s">
        <v>57</v>
      </c>
      <c r="N41" s="65">
        <f>0.5*R41</f>
        <v>150</v>
      </c>
      <c r="O41" s="363" t="s">
        <v>59</v>
      </c>
      <c r="P41" s="65">
        <v>150</v>
      </c>
      <c r="Q41" s="363" t="s">
        <v>60</v>
      </c>
      <c r="R41" s="65">
        <v>300</v>
      </c>
      <c r="S41" s="363" t="s">
        <v>61</v>
      </c>
      <c r="T41" s="65">
        <v>90</v>
      </c>
      <c r="U41" s="363" t="s">
        <v>54</v>
      </c>
      <c r="V41" s="66" t="s">
        <v>276</v>
      </c>
      <c r="W41" s="12"/>
      <c r="X41" s="12"/>
      <c r="Y41" s="12"/>
    </row>
    <row r="42" spans="1:25" x14ac:dyDescent="0.2">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5" thickBot="1" x14ac:dyDescent="0.2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5" thickBot="1" x14ac:dyDescent="0.25"/>
    <row r="46" spans="1:25" ht="13.5" thickBot="1" x14ac:dyDescent="0.25">
      <c r="A46" s="361" t="s">
        <v>277</v>
      </c>
      <c r="B46" s="359">
        <f>ROW(A46)</f>
        <v>46</v>
      </c>
      <c r="C46" s="363" t="s">
        <v>115</v>
      </c>
      <c r="D46" s="353">
        <f>SUM(B49:Y49)</f>
        <v>12.8695</v>
      </c>
      <c r="E46" s="363" t="s">
        <v>114</v>
      </c>
      <c r="F46" s="399">
        <f>D46/g/J46</f>
        <v>3.2796890927624869</v>
      </c>
      <c r="G46" s="363" t="s">
        <v>56</v>
      </c>
      <c r="H46" s="64">
        <v>0.5</v>
      </c>
      <c r="I46" s="363" t="s">
        <v>271</v>
      </c>
      <c r="J46" s="355">
        <f>H46-L46</f>
        <v>0.4</v>
      </c>
      <c r="K46" s="363" t="s">
        <v>272</v>
      </c>
      <c r="L46" s="64">
        <v>0.1</v>
      </c>
      <c r="M46" s="363" t="s">
        <v>57</v>
      </c>
      <c r="N46" s="65">
        <f>0.2*R46</f>
        <v>60</v>
      </c>
      <c r="O46" s="363" t="s">
        <v>59</v>
      </c>
      <c r="P46" s="65">
        <v>150</v>
      </c>
      <c r="Q46" s="363" t="s">
        <v>60</v>
      </c>
      <c r="R46" s="65">
        <v>300</v>
      </c>
      <c r="S46" s="363" t="s">
        <v>61</v>
      </c>
      <c r="T46" s="65">
        <v>98</v>
      </c>
      <c r="U46" s="363" t="s">
        <v>54</v>
      </c>
      <c r="V46" s="66" t="s">
        <v>276</v>
      </c>
      <c r="W46" s="12"/>
      <c r="X46" s="12"/>
      <c r="Y46" s="12"/>
    </row>
    <row r="47" spans="1:25" x14ac:dyDescent="0.2">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5" thickBot="1" x14ac:dyDescent="0.2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5" thickBot="1" x14ac:dyDescent="0.25">
      <c r="A50" s="12"/>
      <c r="L50" s="12"/>
      <c r="M50" s="12"/>
      <c r="N50" s="12"/>
      <c r="O50" s="12"/>
      <c r="P50" s="12"/>
      <c r="Q50" s="12"/>
      <c r="R50" s="12"/>
      <c r="S50" s="12"/>
      <c r="T50" s="12"/>
      <c r="U50" s="12"/>
      <c r="V50" s="12"/>
      <c r="W50" s="12"/>
      <c r="X50" s="12"/>
      <c r="Y50" s="12"/>
    </row>
    <row r="51" spans="1:25" ht="13.5" thickBot="1" x14ac:dyDescent="0.25">
      <c r="A51" s="361" t="s">
        <v>278</v>
      </c>
      <c r="B51" s="359">
        <f>ROW(A51)</f>
        <v>51</v>
      </c>
      <c r="C51" s="363" t="s">
        <v>115</v>
      </c>
      <c r="D51" s="353">
        <f>SUM(B54:Y54)</f>
        <v>18.123500000000003</v>
      </c>
      <c r="E51" s="363" t="s">
        <v>114</v>
      </c>
      <c r="F51" s="399">
        <f>D51/g/J51</f>
        <v>3.0790859667006463</v>
      </c>
      <c r="G51" s="363" t="s">
        <v>56</v>
      </c>
      <c r="H51" s="64">
        <v>0.7</v>
      </c>
      <c r="I51" s="363" t="s">
        <v>271</v>
      </c>
      <c r="J51" s="355">
        <f>H51-L51</f>
        <v>0.6</v>
      </c>
      <c r="K51" s="363" t="s">
        <v>272</v>
      </c>
      <c r="L51" s="64">
        <v>0.1</v>
      </c>
      <c r="M51" s="363" t="s">
        <v>57</v>
      </c>
      <c r="N51" s="65">
        <f>0.3*R51</f>
        <v>90</v>
      </c>
      <c r="O51" s="363" t="s">
        <v>59</v>
      </c>
      <c r="P51" s="65">
        <v>150</v>
      </c>
      <c r="Q51" s="363" t="s">
        <v>60</v>
      </c>
      <c r="R51" s="65">
        <v>300</v>
      </c>
      <c r="S51" s="363" t="s">
        <v>61</v>
      </c>
      <c r="T51" s="65">
        <v>98</v>
      </c>
      <c r="U51" s="363" t="s">
        <v>54</v>
      </c>
      <c r="V51" s="66" t="s">
        <v>276</v>
      </c>
      <c r="W51" s="12"/>
      <c r="X51" s="12"/>
      <c r="Y51" s="12"/>
    </row>
    <row r="52" spans="1:25" x14ac:dyDescent="0.2">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5" thickBot="1" x14ac:dyDescent="0.2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5" thickBot="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5" thickBot="1" x14ac:dyDescent="0.25">
      <c r="A56" s="361" t="s">
        <v>279</v>
      </c>
      <c r="B56" s="359">
        <f>ROW(A56)</f>
        <v>56</v>
      </c>
      <c r="C56" s="363" t="s">
        <v>115</v>
      </c>
      <c r="D56" s="353">
        <f>SUM(B59:Y59)</f>
        <v>22.610000000000003</v>
      </c>
      <c r="E56" s="363" t="s">
        <v>114</v>
      </c>
      <c r="F56" s="399">
        <f>D56/g/J56</f>
        <v>2.88098878695209</v>
      </c>
      <c r="G56" s="363" t="s">
        <v>56</v>
      </c>
      <c r="H56" s="64">
        <v>0.9</v>
      </c>
      <c r="I56" s="363" t="s">
        <v>271</v>
      </c>
      <c r="J56" s="355">
        <f>H56-L56</f>
        <v>0.8</v>
      </c>
      <c r="K56" s="363" t="s">
        <v>272</v>
      </c>
      <c r="L56" s="64">
        <v>0.1</v>
      </c>
      <c r="M56" s="363" t="s">
        <v>57</v>
      </c>
      <c r="N56" s="65">
        <f>0.4*R56</f>
        <v>120</v>
      </c>
      <c r="O56" s="363" t="s">
        <v>59</v>
      </c>
      <c r="P56" s="65">
        <v>150</v>
      </c>
      <c r="Q56" s="363" t="s">
        <v>60</v>
      </c>
      <c r="R56" s="65">
        <v>300</v>
      </c>
      <c r="S56" s="363" t="s">
        <v>61</v>
      </c>
      <c r="T56" s="65">
        <v>98</v>
      </c>
      <c r="U56" s="363" t="s">
        <v>54</v>
      </c>
      <c r="V56" s="66" t="s">
        <v>276</v>
      </c>
      <c r="W56" s="12"/>
      <c r="X56" s="12"/>
      <c r="Y56" s="12"/>
    </row>
    <row r="57" spans="1:25" x14ac:dyDescent="0.2">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5" thickBot="1" x14ac:dyDescent="0.2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5" thickBot="1" x14ac:dyDescent="0.25">
      <c r="A60" s="12"/>
      <c r="L60" s="12"/>
      <c r="M60" s="12"/>
      <c r="N60" s="12"/>
      <c r="O60" s="12"/>
      <c r="P60" s="12"/>
      <c r="Q60" s="12"/>
      <c r="R60" s="12"/>
      <c r="S60" s="12"/>
      <c r="T60" s="12"/>
      <c r="U60" s="12"/>
      <c r="V60" s="12"/>
      <c r="W60" s="12"/>
      <c r="X60" s="12"/>
      <c r="Y60" s="12"/>
    </row>
    <row r="61" spans="1:25" ht="13.5" thickBot="1" x14ac:dyDescent="0.25">
      <c r="A61" s="361" t="s">
        <v>280</v>
      </c>
      <c r="B61" s="359">
        <f>ROW(A61)</f>
        <v>61</v>
      </c>
      <c r="C61" s="363" t="s">
        <v>115</v>
      </c>
      <c r="D61" s="353">
        <f>SUM(B64:Y64)</f>
        <v>25.874000000000006</v>
      </c>
      <c r="E61" s="363" t="s">
        <v>114</v>
      </c>
      <c r="F61" s="399">
        <f>D61/g/J61</f>
        <v>2.6375127420998985</v>
      </c>
      <c r="G61" s="363" t="s">
        <v>56</v>
      </c>
      <c r="H61" s="64">
        <v>1.1000000000000001</v>
      </c>
      <c r="I61" s="363" t="s">
        <v>271</v>
      </c>
      <c r="J61" s="355">
        <f>H61-L61</f>
        <v>1</v>
      </c>
      <c r="K61" s="363" t="s">
        <v>272</v>
      </c>
      <c r="L61" s="64">
        <v>0.1</v>
      </c>
      <c r="M61" s="363" t="s">
        <v>57</v>
      </c>
      <c r="N61" s="65">
        <f>0.5*R61</f>
        <v>150</v>
      </c>
      <c r="O61" s="363" t="s">
        <v>59</v>
      </c>
      <c r="P61" s="65">
        <v>150</v>
      </c>
      <c r="Q61" s="363" t="s">
        <v>60</v>
      </c>
      <c r="R61" s="65">
        <v>300</v>
      </c>
      <c r="S61" s="363" t="s">
        <v>61</v>
      </c>
      <c r="T61" s="65">
        <v>98</v>
      </c>
      <c r="U61" s="363" t="s">
        <v>54</v>
      </c>
      <c r="V61" s="66" t="s">
        <v>276</v>
      </c>
      <c r="W61" s="12"/>
      <c r="X61" s="12"/>
      <c r="Y61" s="12"/>
    </row>
    <row r="62" spans="1:25" x14ac:dyDescent="0.2">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5" thickBot="1" x14ac:dyDescent="0.2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5" thickBot="1" x14ac:dyDescent="0.25">
      <c r="A66" s="6" t="s">
        <v>181</v>
      </c>
    </row>
    <row r="67" spans="1:26" ht="13.5" thickBot="1" x14ac:dyDescent="0.25">
      <c r="A67" s="361" t="s">
        <v>111</v>
      </c>
      <c r="B67" s="359">
        <f>ROW(A67)</f>
        <v>67</v>
      </c>
      <c r="C67" s="363" t="s">
        <v>115</v>
      </c>
      <c r="D67" s="353">
        <f>SUM(B70:Y70)</f>
        <v>2.65</v>
      </c>
      <c r="E67" s="363" t="s">
        <v>114</v>
      </c>
      <c r="F67" s="354">
        <f>D67/g/J67</f>
        <v>54.026503567787969</v>
      </c>
      <c r="G67" s="363" t="s">
        <v>56</v>
      </c>
      <c r="H67" s="64">
        <v>1.4999999999999999E-2</v>
      </c>
      <c r="I67" s="363" t="s">
        <v>271</v>
      </c>
      <c r="J67" s="355">
        <f>H67-L67</f>
        <v>4.9999999999999992E-3</v>
      </c>
      <c r="K67" s="363" t="s">
        <v>272</v>
      </c>
      <c r="L67" s="64">
        <v>0.01</v>
      </c>
      <c r="M67" s="363" t="s">
        <v>57</v>
      </c>
      <c r="N67" s="65">
        <v>30</v>
      </c>
      <c r="O67" s="363" t="s">
        <v>59</v>
      </c>
      <c r="P67" s="65">
        <v>30</v>
      </c>
      <c r="Q67" s="363" t="s">
        <v>60</v>
      </c>
      <c r="R67" s="65">
        <v>70</v>
      </c>
      <c r="S67" s="363" t="s">
        <v>61</v>
      </c>
      <c r="T67" s="65">
        <v>15</v>
      </c>
      <c r="U67" s="363" t="s">
        <v>54</v>
      </c>
      <c r="V67" s="66" t="s">
        <v>117</v>
      </c>
      <c r="W67" s="463" t="s">
        <v>394</v>
      </c>
      <c r="X67" s="465">
        <v>0.32</v>
      </c>
      <c r="Y67" s="463" t="s">
        <v>393</v>
      </c>
      <c r="Z67" s="358">
        <v>3</v>
      </c>
    </row>
    <row r="68" spans="1:26" x14ac:dyDescent="0.2">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5" thickBot="1" x14ac:dyDescent="0.2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5" thickBot="1" x14ac:dyDescent="0.25">
      <c r="A71" s="12"/>
      <c r="L71" s="12"/>
      <c r="M71" s="12"/>
      <c r="N71" s="12"/>
      <c r="O71" s="12"/>
      <c r="P71" s="12"/>
      <c r="Q71" s="12"/>
      <c r="R71" s="12"/>
      <c r="S71" s="12"/>
      <c r="T71" s="12"/>
      <c r="U71" s="12"/>
      <c r="V71" s="12"/>
      <c r="W71" s="12"/>
      <c r="X71" s="12"/>
      <c r="Y71" s="12"/>
    </row>
    <row r="72" spans="1:26" ht="13.5" thickBot="1" x14ac:dyDescent="0.25">
      <c r="A72" s="361" t="s">
        <v>112</v>
      </c>
      <c r="B72" s="359">
        <f>ROW(A72)</f>
        <v>72</v>
      </c>
      <c r="C72" s="363" t="s">
        <v>115</v>
      </c>
      <c r="D72" s="353">
        <f>SUM(B75:Y75)</f>
        <v>5.25</v>
      </c>
      <c r="E72" s="363" t="s">
        <v>114</v>
      </c>
      <c r="F72" s="354">
        <f>D72/g/J72</f>
        <v>89.1946992864424</v>
      </c>
      <c r="G72" s="363" t="s">
        <v>56</v>
      </c>
      <c r="H72" s="64">
        <v>0.02</v>
      </c>
      <c r="I72" s="363" t="s">
        <v>271</v>
      </c>
      <c r="J72" s="355">
        <f>H72-L72</f>
        <v>6.0000000000000001E-3</v>
      </c>
      <c r="K72" s="363" t="s">
        <v>272</v>
      </c>
      <c r="L72" s="64">
        <v>1.4E-2</v>
      </c>
      <c r="M72" s="363" t="s">
        <v>57</v>
      </c>
      <c r="N72" s="65">
        <v>30</v>
      </c>
      <c r="O72" s="363" t="s">
        <v>59</v>
      </c>
      <c r="P72" s="65">
        <v>30</v>
      </c>
      <c r="Q72" s="363" t="s">
        <v>60</v>
      </c>
      <c r="R72" s="65">
        <v>70</v>
      </c>
      <c r="S72" s="363" t="s">
        <v>61</v>
      </c>
      <c r="T72" s="65">
        <v>15</v>
      </c>
      <c r="U72" s="363" t="s">
        <v>54</v>
      </c>
      <c r="V72" s="66" t="s">
        <v>117</v>
      </c>
      <c r="W72" s="463" t="s">
        <v>394</v>
      </c>
      <c r="X72" s="465">
        <v>1.2</v>
      </c>
      <c r="Y72" s="463" t="s">
        <v>393</v>
      </c>
      <c r="Z72" s="358">
        <v>4</v>
      </c>
    </row>
    <row r="73" spans="1:26" x14ac:dyDescent="0.2">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5" thickBot="1" x14ac:dyDescent="0.2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5" thickBot="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5" thickBot="1" x14ac:dyDescent="0.25">
      <c r="A77" s="361" t="s">
        <v>113</v>
      </c>
      <c r="B77" s="359">
        <f>ROW(A77)</f>
        <v>77</v>
      </c>
      <c r="C77" s="363" t="s">
        <v>115</v>
      </c>
      <c r="D77" s="353">
        <f>SUM(B80:Y80)</f>
        <v>10.26</v>
      </c>
      <c r="E77" s="363" t="s">
        <v>114</v>
      </c>
      <c r="F77" s="354">
        <f>D77/g/J77</f>
        <v>80.451658433309802</v>
      </c>
      <c r="G77" s="363" t="s">
        <v>56</v>
      </c>
      <c r="H77" s="64">
        <v>2.4E-2</v>
      </c>
      <c r="I77" s="363" t="s">
        <v>271</v>
      </c>
      <c r="J77" s="355">
        <f>H77-L77</f>
        <v>1.3000000000000001E-2</v>
      </c>
      <c r="K77" s="363" t="s">
        <v>272</v>
      </c>
      <c r="L77" s="64">
        <v>1.0999999999999999E-2</v>
      </c>
      <c r="M77" s="363" t="s">
        <v>57</v>
      </c>
      <c r="N77" s="65">
        <v>30</v>
      </c>
      <c r="O77" s="363" t="s">
        <v>59</v>
      </c>
      <c r="P77" s="65">
        <v>30</v>
      </c>
      <c r="Q77" s="363" t="s">
        <v>60</v>
      </c>
      <c r="R77" s="65">
        <v>70</v>
      </c>
      <c r="S77" s="363" t="s">
        <v>61</v>
      </c>
      <c r="T77" s="65">
        <v>15</v>
      </c>
      <c r="U77" s="363" t="s">
        <v>54</v>
      </c>
      <c r="V77" s="66" t="s">
        <v>117</v>
      </c>
      <c r="W77" s="463" t="s">
        <v>394</v>
      </c>
      <c r="X77" s="465">
        <v>1.7</v>
      </c>
      <c r="Y77" s="463" t="s">
        <v>393</v>
      </c>
      <c r="Z77" s="358">
        <v>3</v>
      </c>
    </row>
    <row r="78" spans="1:26" x14ac:dyDescent="0.2">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5" thickBot="1" x14ac:dyDescent="0.2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5" thickBot="1" x14ac:dyDescent="0.25">
      <c r="A81" s="12"/>
      <c r="L81" s="12"/>
      <c r="M81" s="12"/>
      <c r="N81" s="12"/>
      <c r="O81" s="12"/>
      <c r="P81" s="12"/>
      <c r="Q81" s="12"/>
      <c r="R81" s="12"/>
      <c r="S81" s="12"/>
      <c r="T81" s="12"/>
      <c r="U81" s="12"/>
      <c r="V81" s="12"/>
      <c r="W81" s="12"/>
      <c r="X81" s="12"/>
      <c r="Y81" s="12"/>
    </row>
    <row r="82" spans="1:26" ht="13.5" thickBot="1" x14ac:dyDescent="0.25">
      <c r="A82" s="361" t="s">
        <v>329</v>
      </c>
      <c r="B82" s="359">
        <f>ROW(A82)</f>
        <v>82</v>
      </c>
      <c r="C82" s="363" t="s">
        <v>115</v>
      </c>
      <c r="D82" s="353">
        <f>SUM(B85:Y85)</f>
        <v>20.52</v>
      </c>
      <c r="E82" s="363" t="s">
        <v>114</v>
      </c>
      <c r="F82" s="354">
        <f>D82/g/J82</f>
        <v>80.451658433309802</v>
      </c>
      <c r="G82" s="363" t="s">
        <v>56</v>
      </c>
      <c r="H82" s="64">
        <f>H77*2</f>
        <v>4.8000000000000001E-2</v>
      </c>
      <c r="I82" s="363" t="s">
        <v>271</v>
      </c>
      <c r="J82" s="355">
        <f>H82-L82</f>
        <v>2.6000000000000002E-2</v>
      </c>
      <c r="K82" s="363" t="s">
        <v>272</v>
      </c>
      <c r="L82" s="64">
        <f>L77*2</f>
        <v>2.1999999999999999E-2</v>
      </c>
      <c r="M82" s="363" t="s">
        <v>57</v>
      </c>
      <c r="N82" s="65">
        <v>30</v>
      </c>
      <c r="O82" s="363" t="s">
        <v>59</v>
      </c>
      <c r="P82" s="65">
        <v>30</v>
      </c>
      <c r="Q82" s="363" t="s">
        <v>60</v>
      </c>
      <c r="R82" s="65">
        <v>70</v>
      </c>
      <c r="S82" s="363" t="s">
        <v>61</v>
      </c>
      <c r="T82" s="65">
        <v>30</v>
      </c>
      <c r="U82" s="363" t="s">
        <v>54</v>
      </c>
      <c r="V82" s="66" t="s">
        <v>117</v>
      </c>
      <c r="W82" s="463" t="s">
        <v>394</v>
      </c>
      <c r="X82" s="465">
        <v>1.7</v>
      </c>
      <c r="Y82" s="463" t="s">
        <v>393</v>
      </c>
      <c r="Z82" s="358">
        <v>3</v>
      </c>
    </row>
    <row r="83" spans="1:26" x14ac:dyDescent="0.2">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5" thickBot="1" x14ac:dyDescent="0.2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5" thickBot="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5" thickBot="1" x14ac:dyDescent="0.25">
      <c r="A87" s="361" t="s">
        <v>330</v>
      </c>
      <c r="B87" s="359">
        <f>ROW(A87)</f>
        <v>87</v>
      </c>
      <c r="C87" s="363" t="s">
        <v>115</v>
      </c>
      <c r="D87" s="353">
        <f>SUM(B90:Y90)</f>
        <v>30.779999999999998</v>
      </c>
      <c r="E87" s="363" t="s">
        <v>114</v>
      </c>
      <c r="F87" s="354">
        <f>D87/g/J87</f>
        <v>80.451658433309774</v>
      </c>
      <c r="G87" s="363" t="s">
        <v>56</v>
      </c>
      <c r="H87" s="64">
        <f>H77*3</f>
        <v>7.2000000000000008E-2</v>
      </c>
      <c r="I87" s="363" t="s">
        <v>271</v>
      </c>
      <c r="J87" s="355">
        <f>H87-L87</f>
        <v>3.9000000000000007E-2</v>
      </c>
      <c r="K87" s="363" t="s">
        <v>272</v>
      </c>
      <c r="L87" s="64">
        <f>L77*3</f>
        <v>3.3000000000000002E-2</v>
      </c>
      <c r="M87" s="363" t="s">
        <v>57</v>
      </c>
      <c r="N87" s="65">
        <v>30</v>
      </c>
      <c r="O87" s="363" t="s">
        <v>59</v>
      </c>
      <c r="P87" s="65">
        <v>30</v>
      </c>
      <c r="Q87" s="363" t="s">
        <v>60</v>
      </c>
      <c r="R87" s="65">
        <v>70</v>
      </c>
      <c r="S87" s="363" t="s">
        <v>61</v>
      </c>
      <c r="T87" s="65">
        <v>40</v>
      </c>
      <c r="U87" s="363" t="s">
        <v>54</v>
      </c>
      <c r="V87" s="66" t="s">
        <v>117</v>
      </c>
      <c r="W87" s="463" t="s">
        <v>394</v>
      </c>
      <c r="X87" s="465">
        <v>1.7</v>
      </c>
      <c r="Y87" s="463" t="s">
        <v>393</v>
      </c>
      <c r="Z87" s="358">
        <v>3</v>
      </c>
    </row>
    <row r="88" spans="1:26" x14ac:dyDescent="0.2">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5" thickBot="1" x14ac:dyDescent="0.2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5" thickBot="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5" thickBot="1" x14ac:dyDescent="0.25">
      <c r="A92" s="361" t="s">
        <v>541</v>
      </c>
      <c r="B92" s="359">
        <f>ROW(A92)</f>
        <v>92</v>
      </c>
      <c r="C92" s="363" t="s">
        <v>115</v>
      </c>
      <c r="D92" s="353">
        <f>SUM(B95:Y95)</f>
        <v>19.961989000000003</v>
      </c>
      <c r="E92" s="363" t="s">
        <v>114</v>
      </c>
      <c r="F92" s="354">
        <f>D92/g/J92</f>
        <v>118.30588744280873</v>
      </c>
      <c r="G92" s="363" t="s">
        <v>56</v>
      </c>
      <c r="H92" s="64">
        <v>2.8199999999999999E-2</v>
      </c>
      <c r="I92" s="363" t="s">
        <v>271</v>
      </c>
      <c r="J92" s="355">
        <f>H92-L92</f>
        <v>1.72E-2</v>
      </c>
      <c r="K92" s="363" t="s">
        <v>272</v>
      </c>
      <c r="L92" s="64">
        <v>1.0999999999999999E-2</v>
      </c>
      <c r="M92" s="363" t="s">
        <v>57</v>
      </c>
      <c r="N92" s="65">
        <v>30</v>
      </c>
      <c r="O92" s="363" t="s">
        <v>59</v>
      </c>
      <c r="P92" s="65">
        <v>30</v>
      </c>
      <c r="Q92" s="363" t="s">
        <v>60</v>
      </c>
      <c r="R92" s="65">
        <v>70</v>
      </c>
      <c r="S92" s="363" t="s">
        <v>61</v>
      </c>
      <c r="T92" s="65">
        <v>18</v>
      </c>
      <c r="U92" s="363" t="s">
        <v>54</v>
      </c>
      <c r="V92" s="66" t="s">
        <v>401</v>
      </c>
      <c r="W92" s="463" t="s">
        <v>394</v>
      </c>
      <c r="X92" s="465">
        <v>2.1</v>
      </c>
      <c r="Y92" s="463" t="s">
        <v>393</v>
      </c>
      <c r="Z92" s="358">
        <v>7</v>
      </c>
    </row>
    <row r="93" spans="1:26" x14ac:dyDescent="0.2">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2">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3.5" thickBot="1" x14ac:dyDescent="0.2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5" thickBot="1" x14ac:dyDescent="0.25">
      <c r="A96" s="12"/>
      <c r="L96" s="12"/>
      <c r="M96" s="12"/>
      <c r="N96" s="12"/>
      <c r="O96" s="12"/>
      <c r="P96" s="12"/>
      <c r="Q96" s="12"/>
      <c r="R96" s="12"/>
      <c r="S96" s="12"/>
      <c r="T96" s="12"/>
      <c r="U96" s="12"/>
      <c r="V96" s="12"/>
      <c r="W96" s="12"/>
      <c r="X96" s="12"/>
      <c r="Y96" s="12"/>
    </row>
    <row r="97" spans="1:26" ht="13.5" thickBot="1" x14ac:dyDescent="0.25">
      <c r="A97" s="361" t="s">
        <v>539</v>
      </c>
      <c r="B97" s="359">
        <f>ROW(A97)</f>
        <v>97</v>
      </c>
      <c r="C97" s="363" t="s">
        <v>115</v>
      </c>
      <c r="D97" s="353">
        <f>SUM(B100:Y100)</f>
        <v>39.923978000000005</v>
      </c>
      <c r="E97" s="363" t="s">
        <v>114</v>
      </c>
      <c r="F97" s="354">
        <f>D97/g/J97</f>
        <v>118.30588744280873</v>
      </c>
      <c r="G97" s="363" t="s">
        <v>56</v>
      </c>
      <c r="H97" s="64">
        <f>H92*2</f>
        <v>5.6399999999999999E-2</v>
      </c>
      <c r="I97" s="363" t="s">
        <v>271</v>
      </c>
      <c r="J97" s="355">
        <f>H97-L97</f>
        <v>3.44E-2</v>
      </c>
      <c r="K97" s="363" t="s">
        <v>272</v>
      </c>
      <c r="L97" s="64">
        <f>L92*2</f>
        <v>2.1999999999999999E-2</v>
      </c>
      <c r="M97" s="363" t="s">
        <v>57</v>
      </c>
      <c r="N97" s="65">
        <v>30</v>
      </c>
      <c r="O97" s="363" t="s">
        <v>59</v>
      </c>
      <c r="P97" s="65">
        <v>30</v>
      </c>
      <c r="Q97" s="363" t="s">
        <v>60</v>
      </c>
      <c r="R97" s="65">
        <v>70</v>
      </c>
      <c r="S97" s="363" t="s">
        <v>61</v>
      </c>
      <c r="T97" s="65">
        <v>30</v>
      </c>
      <c r="U97" s="363" t="s">
        <v>54</v>
      </c>
      <c r="V97" s="66" t="s">
        <v>401</v>
      </c>
      <c r="W97" s="463" t="s">
        <v>394</v>
      </c>
      <c r="X97" s="465">
        <v>2.1</v>
      </c>
      <c r="Y97" s="463" t="s">
        <v>393</v>
      </c>
      <c r="Z97" s="358">
        <v>7</v>
      </c>
    </row>
    <row r="98" spans="1:26" x14ac:dyDescent="0.2">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5" thickBot="1" x14ac:dyDescent="0.2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5" thickBot="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5" thickBot="1" x14ac:dyDescent="0.25">
      <c r="A102" s="361" t="s">
        <v>540</v>
      </c>
      <c r="B102" s="359">
        <f>ROW(A102)</f>
        <v>102</v>
      </c>
      <c r="C102" s="363" t="s">
        <v>115</v>
      </c>
      <c r="D102" s="353">
        <f>SUM(B105:Y105)</f>
        <v>59.885967000000008</v>
      </c>
      <c r="E102" s="363" t="s">
        <v>114</v>
      </c>
      <c r="F102" s="354">
        <f>D102/g/J102</f>
        <v>118.30588744280874</v>
      </c>
      <c r="G102" s="363" t="s">
        <v>56</v>
      </c>
      <c r="H102" s="64">
        <f>H92*3</f>
        <v>8.4599999999999995E-2</v>
      </c>
      <c r="I102" s="363" t="s">
        <v>271</v>
      </c>
      <c r="J102" s="355">
        <f>H102-L102</f>
        <v>5.1599999999999993E-2</v>
      </c>
      <c r="K102" s="363" t="s">
        <v>272</v>
      </c>
      <c r="L102" s="64">
        <f>L92*3</f>
        <v>3.3000000000000002E-2</v>
      </c>
      <c r="M102" s="363" t="s">
        <v>57</v>
      </c>
      <c r="N102" s="65">
        <v>30</v>
      </c>
      <c r="O102" s="363" t="s">
        <v>59</v>
      </c>
      <c r="P102" s="65">
        <v>30</v>
      </c>
      <c r="Q102" s="363" t="s">
        <v>60</v>
      </c>
      <c r="R102" s="65">
        <v>70</v>
      </c>
      <c r="S102" s="363" t="s">
        <v>61</v>
      </c>
      <c r="T102" s="65">
        <v>40</v>
      </c>
      <c r="U102" s="363" t="s">
        <v>54</v>
      </c>
      <c r="V102" s="66" t="s">
        <v>401</v>
      </c>
      <c r="W102" s="463" t="s">
        <v>394</v>
      </c>
      <c r="X102" s="465">
        <v>2.1</v>
      </c>
      <c r="Y102" s="463" t="s">
        <v>393</v>
      </c>
      <c r="Z102" s="358">
        <v>7</v>
      </c>
    </row>
    <row r="103" spans="1:26" x14ac:dyDescent="0.2">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5" thickBot="1" x14ac:dyDescent="0.2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5" thickBot="1" x14ac:dyDescent="0.25">
      <c r="A107" s="6" t="s">
        <v>317</v>
      </c>
    </row>
    <row r="108" spans="1:26" ht="13.5" thickBot="1" x14ac:dyDescent="0.25">
      <c r="A108" s="361" t="s">
        <v>319</v>
      </c>
      <c r="B108" s="359">
        <f>ROW(A108)</f>
        <v>108</v>
      </c>
      <c r="C108" s="363" t="s">
        <v>115</v>
      </c>
      <c r="D108" s="353">
        <f>SUM(B111:Y111)</f>
        <v>24.269519000000003</v>
      </c>
      <c r="E108" s="363" t="s">
        <v>114</v>
      </c>
      <c r="F108" s="354">
        <f>D108/g/J108</f>
        <v>154.62231778797147</v>
      </c>
      <c r="G108" s="363" t="s">
        <v>56</v>
      </c>
      <c r="H108" s="64">
        <v>5.1999999999999998E-2</v>
      </c>
      <c r="I108" s="363" t="s">
        <v>271</v>
      </c>
      <c r="J108" s="355">
        <f>H108-L108</f>
        <v>1.6E-2</v>
      </c>
      <c r="K108" s="363" t="s">
        <v>272</v>
      </c>
      <c r="L108" s="64">
        <v>3.5999999999999997E-2</v>
      </c>
      <c r="M108" s="363" t="s">
        <v>57</v>
      </c>
      <c r="N108" s="396">
        <v>35</v>
      </c>
      <c r="O108" s="363" t="s">
        <v>59</v>
      </c>
      <c r="P108" s="396">
        <v>35</v>
      </c>
      <c r="Q108" s="363" t="s">
        <v>60</v>
      </c>
      <c r="R108" s="65">
        <v>69</v>
      </c>
      <c r="S108" s="363" t="s">
        <v>61</v>
      </c>
      <c r="T108" s="65">
        <v>24</v>
      </c>
      <c r="U108" s="363" t="s">
        <v>54</v>
      </c>
      <c r="V108" s="66" t="s">
        <v>399</v>
      </c>
      <c r="W108" s="463" t="s">
        <v>394</v>
      </c>
      <c r="X108" s="465">
        <v>1</v>
      </c>
      <c r="Y108" s="463" t="s">
        <v>393</v>
      </c>
      <c r="Z108" s="358">
        <v>13</v>
      </c>
    </row>
    <row r="109" spans="1:26" x14ac:dyDescent="0.2">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5" thickBot="1" x14ac:dyDescent="0.2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5" thickBot="1" x14ac:dyDescent="0.25"/>
    <row r="113" spans="1:26" ht="13.5" thickBot="1" x14ac:dyDescent="0.25">
      <c r="A113" s="361" t="s">
        <v>417</v>
      </c>
      <c r="B113" s="359">
        <f>ROW(A113)</f>
        <v>113</v>
      </c>
      <c r="C113" s="363" t="s">
        <v>115</v>
      </c>
      <c r="D113" s="353">
        <f>SUM(B116:Y116)</f>
        <v>24.488898000000002</v>
      </c>
      <c r="E113" s="363" t="s">
        <v>114</v>
      </c>
      <c r="F113" s="354">
        <f>D113/g/J113</f>
        <v>121.771701350041</v>
      </c>
      <c r="G113" s="363" t="s">
        <v>56</v>
      </c>
      <c r="H113" s="64">
        <v>5.6500000000000002E-2</v>
      </c>
      <c r="I113" s="363" t="s">
        <v>271</v>
      </c>
      <c r="J113" s="355">
        <f>H113-L113</f>
        <v>2.0500000000000004E-2</v>
      </c>
      <c r="K113" s="363" t="s">
        <v>272</v>
      </c>
      <c r="L113" s="64">
        <v>3.5999999999999997E-2</v>
      </c>
      <c r="M113" s="363" t="s">
        <v>57</v>
      </c>
      <c r="N113" s="396">
        <v>35</v>
      </c>
      <c r="O113" s="363" t="s">
        <v>59</v>
      </c>
      <c r="P113" s="396">
        <v>35</v>
      </c>
      <c r="Q113" s="363" t="s">
        <v>60</v>
      </c>
      <c r="R113" s="65">
        <v>69</v>
      </c>
      <c r="S113" s="363" t="s">
        <v>61</v>
      </c>
      <c r="T113" s="65">
        <v>24</v>
      </c>
      <c r="U113" s="363" t="s">
        <v>54</v>
      </c>
      <c r="V113" s="66" t="s">
        <v>400</v>
      </c>
      <c r="W113" s="463" t="s">
        <v>394</v>
      </c>
      <c r="X113" s="465">
        <v>0.33</v>
      </c>
      <c r="Y113" s="463" t="s">
        <v>393</v>
      </c>
      <c r="Z113" s="358">
        <v>17</v>
      </c>
    </row>
    <row r="114" spans="1:26" x14ac:dyDescent="0.2">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5" thickBot="1" x14ac:dyDescent="0.2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5" thickBot="1" x14ac:dyDescent="0.25"/>
    <row r="118" spans="1:26" ht="13.5" thickBot="1" x14ac:dyDescent="0.25">
      <c r="A118" s="361" t="s">
        <v>320</v>
      </c>
      <c r="B118" s="359">
        <f>ROW(A118)</f>
        <v>118</v>
      </c>
      <c r="C118" s="363" t="s">
        <v>115</v>
      </c>
      <c r="D118" s="353">
        <f>SUM(B121:Y121)</f>
        <v>26.083982500000001</v>
      </c>
      <c r="E118" s="363" t="s">
        <v>114</v>
      </c>
      <c r="F118" s="354">
        <f>D118/g/J118</f>
        <v>166.18235537716615</v>
      </c>
      <c r="G118" s="363" t="s">
        <v>56</v>
      </c>
      <c r="H118" s="64">
        <v>5.1999999999999998E-2</v>
      </c>
      <c r="I118" s="363" t="s">
        <v>271</v>
      </c>
      <c r="J118" s="355">
        <f>H118-L118</f>
        <v>1.6E-2</v>
      </c>
      <c r="K118" s="363" t="s">
        <v>272</v>
      </c>
      <c r="L118" s="64">
        <v>3.5999999999999997E-2</v>
      </c>
      <c r="M118" s="363" t="s">
        <v>57</v>
      </c>
      <c r="N118" s="396">
        <v>35</v>
      </c>
      <c r="O118" s="363" t="s">
        <v>59</v>
      </c>
      <c r="P118" s="396">
        <v>35</v>
      </c>
      <c r="Q118" s="363" t="s">
        <v>60</v>
      </c>
      <c r="R118" s="65">
        <v>69</v>
      </c>
      <c r="S118" s="363" t="s">
        <v>61</v>
      </c>
      <c r="T118" s="65">
        <v>24</v>
      </c>
      <c r="U118" s="363" t="s">
        <v>54</v>
      </c>
      <c r="V118" s="66" t="s">
        <v>399</v>
      </c>
      <c r="W118" s="463" t="s">
        <v>394</v>
      </c>
      <c r="X118" s="465">
        <v>0.85</v>
      </c>
      <c r="Y118" s="463" t="s">
        <v>393</v>
      </c>
      <c r="Z118" s="358">
        <v>15</v>
      </c>
    </row>
    <row r="119" spans="1:26" x14ac:dyDescent="0.2">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5" thickBot="1" x14ac:dyDescent="0.2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5" thickBot="1" x14ac:dyDescent="0.25">
      <c r="A122" s="6" t="s">
        <v>389</v>
      </c>
    </row>
    <row r="123" spans="1:26" ht="13.5" thickBot="1" x14ac:dyDescent="0.25">
      <c r="A123" s="361" t="s">
        <v>390</v>
      </c>
      <c r="B123" s="359">
        <f>ROW(A123)</f>
        <v>123</v>
      </c>
      <c r="C123" s="363" t="s">
        <v>115</v>
      </c>
      <c r="D123" s="353">
        <f>SUM(B126:Y126)</f>
        <v>49.788765499999997</v>
      </c>
      <c r="E123" s="363" t="s">
        <v>114</v>
      </c>
      <c r="F123" s="354">
        <v>231</v>
      </c>
      <c r="G123" s="363" t="s">
        <v>56</v>
      </c>
      <c r="H123" s="64">
        <v>7.2999999999999995E-2</v>
      </c>
      <c r="I123" s="363" t="s">
        <v>271</v>
      </c>
      <c r="J123" s="355">
        <f>H123-L123</f>
        <v>2.7999999999999997E-2</v>
      </c>
      <c r="K123" s="363" t="s">
        <v>272</v>
      </c>
      <c r="L123" s="64">
        <v>4.4999999999999998E-2</v>
      </c>
      <c r="M123" s="363" t="s">
        <v>57</v>
      </c>
      <c r="N123" s="396">
        <v>50</v>
      </c>
      <c r="O123" s="363" t="s">
        <v>59</v>
      </c>
      <c r="P123" s="396">
        <v>50</v>
      </c>
      <c r="Q123" s="363" t="s">
        <v>60</v>
      </c>
      <c r="R123" s="65">
        <v>101</v>
      </c>
      <c r="S123" s="363" t="s">
        <v>61</v>
      </c>
      <c r="T123" s="65">
        <v>24</v>
      </c>
      <c r="U123" s="363" t="s">
        <v>54</v>
      </c>
      <c r="V123" s="66" t="s">
        <v>119</v>
      </c>
      <c r="W123" s="463" t="s">
        <v>394</v>
      </c>
      <c r="X123" s="465">
        <v>1</v>
      </c>
      <c r="Y123" s="463" t="s">
        <v>393</v>
      </c>
      <c r="Z123" s="358">
        <v>13</v>
      </c>
    </row>
    <row r="124" spans="1:26" x14ac:dyDescent="0.2">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2">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3.5" thickBot="1" x14ac:dyDescent="0.2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5" thickBot="1" x14ac:dyDescent="0.25"/>
    <row r="128" spans="1:26" ht="13.5" thickBot="1" x14ac:dyDescent="0.25">
      <c r="A128" s="361" t="s">
        <v>391</v>
      </c>
      <c r="B128" s="359">
        <f>ROW(A128)</f>
        <v>128</v>
      </c>
      <c r="C128" s="363" t="s">
        <v>115</v>
      </c>
      <c r="D128" s="353">
        <f>SUM(B131:Y131)</f>
        <v>52.815674000000008</v>
      </c>
      <c r="E128" s="363" t="s">
        <v>114</v>
      </c>
      <c r="F128" s="354">
        <v>239</v>
      </c>
      <c r="G128" s="363" t="s">
        <v>56</v>
      </c>
      <c r="H128" s="64">
        <v>7.2999999999999995E-2</v>
      </c>
      <c r="I128" s="363" t="s">
        <v>271</v>
      </c>
      <c r="J128" s="355">
        <f>H128-L128</f>
        <v>2.8999999999999998E-2</v>
      </c>
      <c r="K128" s="363" t="s">
        <v>272</v>
      </c>
      <c r="L128" s="64">
        <v>4.3999999999999997E-2</v>
      </c>
      <c r="M128" s="363" t="s">
        <v>57</v>
      </c>
      <c r="N128" s="396">
        <v>50</v>
      </c>
      <c r="O128" s="363" t="s">
        <v>59</v>
      </c>
      <c r="P128" s="396">
        <v>50</v>
      </c>
      <c r="Q128" s="363" t="s">
        <v>60</v>
      </c>
      <c r="R128" s="65">
        <v>101</v>
      </c>
      <c r="S128" s="363" t="s">
        <v>61</v>
      </c>
      <c r="T128" s="65">
        <v>24</v>
      </c>
      <c r="U128" s="363" t="s">
        <v>54</v>
      </c>
      <c r="V128" s="66" t="s">
        <v>119</v>
      </c>
      <c r="W128" s="463" t="s">
        <v>394</v>
      </c>
      <c r="X128" s="465">
        <v>0.77</v>
      </c>
      <c r="Y128" s="463" t="s">
        <v>393</v>
      </c>
      <c r="Z128" s="358">
        <v>14</v>
      </c>
    </row>
    <row r="129" spans="1:26" x14ac:dyDescent="0.2">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2">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3.5" thickBot="1" x14ac:dyDescent="0.2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5" thickBot="1" x14ac:dyDescent="0.25">
      <c r="A132" s="6" t="s">
        <v>314</v>
      </c>
    </row>
    <row r="133" spans="1:26" ht="13.5" thickBot="1" x14ac:dyDescent="0.25">
      <c r="A133" s="361" t="s">
        <v>381</v>
      </c>
      <c r="B133" s="359">
        <f>ROW(A133)</f>
        <v>133</v>
      </c>
      <c r="C133" s="363" t="s">
        <v>115</v>
      </c>
      <c r="D133" s="353">
        <f>SUM(B136:Y136)</f>
        <v>41.835000000000015</v>
      </c>
      <c r="E133" s="363" t="s">
        <v>114</v>
      </c>
      <c r="F133" s="354">
        <f>D133/g/J133</f>
        <v>121.84359982525126</v>
      </c>
      <c r="G133" s="363" t="s">
        <v>56</v>
      </c>
      <c r="H133" s="64">
        <v>0.104</v>
      </c>
      <c r="I133" s="363" t="s">
        <v>271</v>
      </c>
      <c r="J133" s="355">
        <f>H133-L133</f>
        <v>3.4999999999999989E-2</v>
      </c>
      <c r="K133" s="363" t="s">
        <v>272</v>
      </c>
      <c r="L133" s="64">
        <v>6.9000000000000006E-2</v>
      </c>
      <c r="M133" s="363" t="s">
        <v>57</v>
      </c>
      <c r="N133" s="65">
        <v>49</v>
      </c>
      <c r="O133" s="363" t="s">
        <v>59</v>
      </c>
      <c r="P133" s="65">
        <v>49</v>
      </c>
      <c r="Q133" s="363" t="s">
        <v>60</v>
      </c>
      <c r="R133" s="65">
        <v>98</v>
      </c>
      <c r="S133" s="363" t="s">
        <v>61</v>
      </c>
      <c r="T133" s="65">
        <v>29</v>
      </c>
      <c r="U133" s="363" t="s">
        <v>54</v>
      </c>
      <c r="V133" s="66" t="s">
        <v>399</v>
      </c>
      <c r="W133" s="463" t="s">
        <v>394</v>
      </c>
      <c r="X133" s="465">
        <v>1.07</v>
      </c>
      <c r="Y133" s="463" t="s">
        <v>393</v>
      </c>
      <c r="Z133" s="358">
        <v>11</v>
      </c>
    </row>
    <row r="134" spans="1:26" x14ac:dyDescent="0.2">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5" thickBot="1" x14ac:dyDescent="0.2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5" thickBot="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5" thickBot="1" x14ac:dyDescent="0.25">
      <c r="A138" s="361" t="s">
        <v>382</v>
      </c>
      <c r="B138" s="359">
        <f>ROW(A138)</f>
        <v>138</v>
      </c>
      <c r="C138" s="363" t="s">
        <v>115</v>
      </c>
      <c r="D138" s="353">
        <f>SUM(B141:Y141)</f>
        <v>52.564999999999998</v>
      </c>
      <c r="E138" s="363" t="s">
        <v>114</v>
      </c>
      <c r="F138" s="354">
        <f>D138/g/J138</f>
        <v>167.44712028542301</v>
      </c>
      <c r="G138" s="363" t="s">
        <v>56</v>
      </c>
      <c r="H138" s="64">
        <v>0.10100000000000001</v>
      </c>
      <c r="I138" s="363" t="s">
        <v>271</v>
      </c>
      <c r="J138" s="355">
        <f>H138-L138</f>
        <v>3.2000000000000001E-2</v>
      </c>
      <c r="K138" s="363" t="s">
        <v>272</v>
      </c>
      <c r="L138" s="64">
        <v>6.9000000000000006E-2</v>
      </c>
      <c r="M138" s="363" t="s">
        <v>57</v>
      </c>
      <c r="N138" s="65">
        <v>49</v>
      </c>
      <c r="O138" s="363" t="s">
        <v>59</v>
      </c>
      <c r="P138" s="65">
        <v>49</v>
      </c>
      <c r="Q138" s="363" t="s">
        <v>60</v>
      </c>
      <c r="R138" s="65">
        <v>98</v>
      </c>
      <c r="S138" s="363" t="s">
        <v>61</v>
      </c>
      <c r="T138" s="65">
        <v>29</v>
      </c>
      <c r="U138" s="363" t="s">
        <v>54</v>
      </c>
      <c r="V138" s="66" t="s">
        <v>400</v>
      </c>
      <c r="W138" s="463" t="s">
        <v>394</v>
      </c>
      <c r="X138" s="465">
        <v>1.8</v>
      </c>
      <c r="Y138" s="463" t="s">
        <v>393</v>
      </c>
      <c r="Z138" s="358">
        <v>12</v>
      </c>
    </row>
    <row r="139" spans="1:26" x14ac:dyDescent="0.2">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5" thickBot="1" x14ac:dyDescent="0.2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5" thickBot="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5" thickBot="1" x14ac:dyDescent="0.25">
      <c r="A143" s="361" t="s">
        <v>383</v>
      </c>
      <c r="B143" s="359">
        <f>ROW(A143)</f>
        <v>143</v>
      </c>
      <c r="C143" s="363" t="s">
        <v>115</v>
      </c>
      <c r="D143" s="353">
        <f>SUM(B146:Y146)</f>
        <v>54.110016122119539</v>
      </c>
      <c r="E143" s="363" t="s">
        <v>114</v>
      </c>
      <c r="F143" s="354">
        <f>D143/g/J143</f>
        <v>146.69685764124625</v>
      </c>
      <c r="G143" s="363" t="s">
        <v>56</v>
      </c>
      <c r="H143" s="64">
        <v>0.10580000000000001</v>
      </c>
      <c r="I143" s="363" t="s">
        <v>271</v>
      </c>
      <c r="J143" s="355">
        <f>H143-L143</f>
        <v>3.7600000000000008E-2</v>
      </c>
      <c r="K143" s="363" t="s">
        <v>272</v>
      </c>
      <c r="L143" s="64">
        <v>6.8199999999999997E-2</v>
      </c>
      <c r="M143" s="363" t="s">
        <v>57</v>
      </c>
      <c r="N143" s="65">
        <v>49</v>
      </c>
      <c r="O143" s="363" t="s">
        <v>59</v>
      </c>
      <c r="P143" s="65">
        <v>49</v>
      </c>
      <c r="Q143" s="363" t="s">
        <v>60</v>
      </c>
      <c r="R143" s="65">
        <v>98</v>
      </c>
      <c r="S143" s="363" t="s">
        <v>61</v>
      </c>
      <c r="T143" s="65">
        <v>29</v>
      </c>
      <c r="U143" s="363" t="s">
        <v>54</v>
      </c>
      <c r="V143" s="66" t="s">
        <v>399</v>
      </c>
      <c r="W143" s="463" t="s">
        <v>394</v>
      </c>
      <c r="X143" s="465">
        <v>1.9</v>
      </c>
      <c r="Y143" s="463" t="s">
        <v>393</v>
      </c>
      <c r="Z143" s="358">
        <v>12</v>
      </c>
    </row>
    <row r="144" spans="1:26" x14ac:dyDescent="0.2">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5" thickBot="1" x14ac:dyDescent="0.2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5" thickBot="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5" thickBot="1" x14ac:dyDescent="0.25">
      <c r="A148" s="361" t="s">
        <v>544</v>
      </c>
      <c r="B148" s="359">
        <f>ROW(A148)</f>
        <v>148</v>
      </c>
      <c r="C148" s="363" t="s">
        <v>115</v>
      </c>
      <c r="D148" s="353">
        <f>SUM(B151:Y151)</f>
        <v>55.589492</v>
      </c>
      <c r="E148" s="363" t="s">
        <v>114</v>
      </c>
      <c r="F148" s="354">
        <f>D148/g/J148</f>
        <v>177.08171508664634</v>
      </c>
      <c r="G148" s="363" t="s">
        <v>56</v>
      </c>
      <c r="H148" s="64">
        <v>0.10199999999999999</v>
      </c>
      <c r="I148" s="363" t="s">
        <v>271</v>
      </c>
      <c r="J148" s="355">
        <f>H148-L148</f>
        <v>3.1999999999999987E-2</v>
      </c>
      <c r="K148" s="363" t="s">
        <v>272</v>
      </c>
      <c r="L148" s="64">
        <v>7.0000000000000007E-2</v>
      </c>
      <c r="M148" s="363" t="s">
        <v>57</v>
      </c>
      <c r="N148" s="65">
        <v>49</v>
      </c>
      <c r="O148" s="363" t="s">
        <v>59</v>
      </c>
      <c r="P148" s="65">
        <v>49</v>
      </c>
      <c r="Q148" s="363" t="s">
        <v>60</v>
      </c>
      <c r="R148" s="65">
        <v>98</v>
      </c>
      <c r="S148" s="363" t="s">
        <v>61</v>
      </c>
      <c r="T148" s="65">
        <v>29</v>
      </c>
      <c r="U148" s="363" t="s">
        <v>54</v>
      </c>
      <c r="V148" s="66" t="s">
        <v>400</v>
      </c>
      <c r="W148" s="463" t="s">
        <v>394</v>
      </c>
      <c r="X148" s="465">
        <v>0.45</v>
      </c>
      <c r="Y148" s="463" t="s">
        <v>393</v>
      </c>
      <c r="Z148" s="358">
        <v>12</v>
      </c>
    </row>
    <row r="149" spans="1:26" x14ac:dyDescent="0.2">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5" thickBot="1" x14ac:dyDescent="0.2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5" thickBot="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5" thickBot="1" x14ac:dyDescent="0.25">
      <c r="A153" s="361" t="s">
        <v>384</v>
      </c>
      <c r="B153" s="359">
        <f>ROW(A153)</f>
        <v>153</v>
      </c>
      <c r="C153" s="363" t="s">
        <v>115</v>
      </c>
      <c r="D153" s="353">
        <f>SUM(B156:Y156)</f>
        <v>55.705884500000003</v>
      </c>
      <c r="E153" s="363" t="s">
        <v>114</v>
      </c>
      <c r="F153" s="354">
        <f>D153/g/J153</f>
        <v>180.84329814241278</v>
      </c>
      <c r="G153" s="363" t="s">
        <v>56</v>
      </c>
      <c r="H153" s="64">
        <v>0.1062</v>
      </c>
      <c r="I153" s="363" t="s">
        <v>271</v>
      </c>
      <c r="J153" s="355">
        <f>H153-L153</f>
        <v>3.1400000000000011E-2</v>
      </c>
      <c r="K153" s="363" t="s">
        <v>272</v>
      </c>
      <c r="L153" s="64">
        <v>7.4799999999999991E-2</v>
      </c>
      <c r="M153" s="363" t="s">
        <v>57</v>
      </c>
      <c r="N153" s="65">
        <v>49</v>
      </c>
      <c r="O153" s="363" t="s">
        <v>59</v>
      </c>
      <c r="P153" s="65">
        <v>49</v>
      </c>
      <c r="Q153" s="363" t="s">
        <v>60</v>
      </c>
      <c r="R153" s="65">
        <v>98</v>
      </c>
      <c r="S153" s="363" t="s">
        <v>61</v>
      </c>
      <c r="T153" s="65">
        <v>29</v>
      </c>
      <c r="U153" s="363" t="s">
        <v>54</v>
      </c>
      <c r="V153" s="66" t="s">
        <v>400</v>
      </c>
      <c r="W153" s="463" t="s">
        <v>394</v>
      </c>
      <c r="X153" s="465">
        <v>0.45</v>
      </c>
      <c r="Y153" s="463" t="s">
        <v>393</v>
      </c>
      <c r="Z153" s="358">
        <v>14</v>
      </c>
    </row>
    <row r="154" spans="1:26" x14ac:dyDescent="0.2">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5" thickBot="1" x14ac:dyDescent="0.2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5" thickBot="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5" thickBot="1" x14ac:dyDescent="0.25">
      <c r="A158" s="361" t="s">
        <v>385</v>
      </c>
      <c r="B158" s="359">
        <f>ROW(A158)</f>
        <v>158</v>
      </c>
      <c r="C158" s="363" t="s">
        <v>115</v>
      </c>
      <c r="D158" s="353">
        <f>SUM(B161:Y161)</f>
        <v>57.190000000000005</v>
      </c>
      <c r="E158" s="363" t="s">
        <v>114</v>
      </c>
      <c r="F158" s="354">
        <f>D158/g/J158</f>
        <v>188.05695307618953</v>
      </c>
      <c r="G158" s="363" t="s">
        <v>56</v>
      </c>
      <c r="H158" s="64">
        <v>9.9000000000000005E-2</v>
      </c>
      <c r="I158" s="363" t="s">
        <v>271</v>
      </c>
      <c r="J158" s="355">
        <f>H158-L158</f>
        <v>3.1E-2</v>
      </c>
      <c r="K158" s="363" t="s">
        <v>272</v>
      </c>
      <c r="L158" s="64">
        <v>6.8000000000000005E-2</v>
      </c>
      <c r="M158" s="363" t="s">
        <v>57</v>
      </c>
      <c r="N158" s="65">
        <v>49</v>
      </c>
      <c r="O158" s="363" t="s">
        <v>59</v>
      </c>
      <c r="P158" s="65">
        <v>49</v>
      </c>
      <c r="Q158" s="363" t="s">
        <v>60</v>
      </c>
      <c r="R158" s="65">
        <v>98</v>
      </c>
      <c r="S158" s="363" t="s">
        <v>61</v>
      </c>
      <c r="T158" s="65">
        <v>29</v>
      </c>
      <c r="U158" s="363" t="s">
        <v>54</v>
      </c>
      <c r="V158" s="66" t="s">
        <v>400</v>
      </c>
      <c r="W158" s="463" t="s">
        <v>394</v>
      </c>
      <c r="X158" s="465">
        <v>0.96</v>
      </c>
      <c r="Y158" s="463" t="s">
        <v>393</v>
      </c>
      <c r="Z158" s="358">
        <v>12</v>
      </c>
    </row>
    <row r="159" spans="1:26" x14ac:dyDescent="0.2">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5" thickBot="1" x14ac:dyDescent="0.2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5" thickBot="1" x14ac:dyDescent="0.25">
      <c r="A162" s="6" t="s">
        <v>315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5" thickBot="1" x14ac:dyDescent="0.25">
      <c r="A163" s="361" t="s">
        <v>321</v>
      </c>
      <c r="B163" s="359">
        <f>ROW(A163)</f>
        <v>163</v>
      </c>
      <c r="C163" s="363" t="s">
        <v>115</v>
      </c>
      <c r="D163" s="353">
        <f>SUM(B166:Y166)</f>
        <v>59.702267000000006</v>
      </c>
      <c r="E163" s="363" t="s">
        <v>114</v>
      </c>
      <c r="F163" s="354">
        <f>D163/g/J163</f>
        <v>190.77924771281306</v>
      </c>
      <c r="G163" s="363" t="s">
        <v>56</v>
      </c>
      <c r="H163" s="64">
        <v>9.3899999999999997E-2</v>
      </c>
      <c r="I163" s="363" t="s">
        <v>271</v>
      </c>
      <c r="J163" s="355">
        <f>H163-L163</f>
        <v>3.1899999999999998E-2</v>
      </c>
      <c r="K163" s="363" t="s">
        <v>272</v>
      </c>
      <c r="L163" s="64">
        <f>0.095-0.033</f>
        <v>6.2E-2</v>
      </c>
      <c r="M163" s="363" t="s">
        <v>57</v>
      </c>
      <c r="N163" s="396">
        <v>66.5</v>
      </c>
      <c r="O163" s="363" t="s">
        <v>59</v>
      </c>
      <c r="P163" s="396">
        <v>66.5</v>
      </c>
      <c r="Q163" s="363" t="s">
        <v>60</v>
      </c>
      <c r="R163" s="65">
        <v>133</v>
      </c>
      <c r="S163" s="363" t="s">
        <v>61</v>
      </c>
      <c r="T163" s="65">
        <v>24</v>
      </c>
      <c r="U163" s="363" t="s">
        <v>54</v>
      </c>
      <c r="V163" s="66" t="s">
        <v>399</v>
      </c>
      <c r="W163" s="463" t="s">
        <v>394</v>
      </c>
      <c r="X163" s="465">
        <v>1.2</v>
      </c>
      <c r="Y163" s="463" t="s">
        <v>393</v>
      </c>
      <c r="Z163" s="358">
        <v>13</v>
      </c>
    </row>
    <row r="164" spans="1:26" x14ac:dyDescent="0.2">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5" thickBot="1" x14ac:dyDescent="0.2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5" thickBot="1" x14ac:dyDescent="0.25"/>
    <row r="168" spans="1:26" ht="13.5" thickBot="1" x14ac:dyDescent="0.25">
      <c r="A168" s="361" t="s">
        <v>322</v>
      </c>
      <c r="B168" s="359">
        <f>ROW(A168)</f>
        <v>168</v>
      </c>
      <c r="C168" s="363" t="s">
        <v>115</v>
      </c>
      <c r="D168" s="353">
        <f>SUM(B171:Y171)</f>
        <v>68.380602999999994</v>
      </c>
      <c r="E168" s="363" t="s">
        <v>114</v>
      </c>
      <c r="F168" s="354">
        <f>D168/g/J168</f>
        <v>134.04807300243078</v>
      </c>
      <c r="G168" s="363" t="s">
        <v>56</v>
      </c>
      <c r="H168" s="64">
        <v>0.1075</v>
      </c>
      <c r="I168" s="363" t="s">
        <v>271</v>
      </c>
      <c r="J168" s="355">
        <f>H168-L168</f>
        <v>5.1999999999999998E-2</v>
      </c>
      <c r="K168" s="363" t="s">
        <v>272</v>
      </c>
      <c r="L168" s="64">
        <v>5.5500000000000001E-2</v>
      </c>
      <c r="M168" s="363" t="s">
        <v>57</v>
      </c>
      <c r="N168" s="396">
        <v>66.5</v>
      </c>
      <c r="O168" s="363" t="s">
        <v>59</v>
      </c>
      <c r="P168" s="396">
        <v>66.5</v>
      </c>
      <c r="Q168" s="363" t="s">
        <v>60</v>
      </c>
      <c r="R168" s="65">
        <v>133</v>
      </c>
      <c r="S168" s="363" t="s">
        <v>61</v>
      </c>
      <c r="T168" s="65">
        <v>24</v>
      </c>
      <c r="U168" s="363" t="s">
        <v>54</v>
      </c>
      <c r="V168" s="66" t="s">
        <v>399</v>
      </c>
      <c r="W168" s="463" t="s">
        <v>394</v>
      </c>
      <c r="X168" s="465">
        <v>0.86</v>
      </c>
      <c r="Y168" s="463" t="s">
        <v>393</v>
      </c>
      <c r="Z168" s="358">
        <v>13</v>
      </c>
    </row>
    <row r="169" spans="1:26" x14ac:dyDescent="0.2">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5" thickBot="1" x14ac:dyDescent="0.2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5" thickBot="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5" thickBot="1" x14ac:dyDescent="0.25">
      <c r="A173" s="361" t="s">
        <v>323</v>
      </c>
      <c r="B173" s="359">
        <f>ROW(A173)</f>
        <v>173</v>
      </c>
      <c r="C173" s="363" t="s">
        <v>115</v>
      </c>
      <c r="D173" s="353">
        <f>SUM(B176:Y176)</f>
        <v>67.985428500000012</v>
      </c>
      <c r="E173" s="363" t="s">
        <v>114</v>
      </c>
      <c r="F173" s="354">
        <f>D173/g/J173</f>
        <v>181.89545859519862</v>
      </c>
      <c r="G173" s="363" t="s">
        <v>56</v>
      </c>
      <c r="H173" s="64">
        <v>9.1799999999999993E-2</v>
      </c>
      <c r="I173" s="363" t="s">
        <v>271</v>
      </c>
      <c r="J173" s="355">
        <f>H173-L173</f>
        <v>3.8099999999999988E-2</v>
      </c>
      <c r="K173" s="363" t="s">
        <v>272</v>
      </c>
      <c r="L173" s="64">
        <v>5.3700000000000005E-2</v>
      </c>
      <c r="M173" s="363" t="s">
        <v>57</v>
      </c>
      <c r="N173" s="396">
        <v>66.5</v>
      </c>
      <c r="O173" s="363" t="s">
        <v>59</v>
      </c>
      <c r="P173" s="396">
        <v>66.5</v>
      </c>
      <c r="Q173" s="363" t="s">
        <v>60</v>
      </c>
      <c r="R173" s="65">
        <v>133</v>
      </c>
      <c r="S173" s="363" t="s">
        <v>61</v>
      </c>
      <c r="T173" s="65">
        <v>24</v>
      </c>
      <c r="U173" s="363" t="s">
        <v>54</v>
      </c>
      <c r="V173" s="66" t="s">
        <v>399</v>
      </c>
      <c r="W173" s="463" t="s">
        <v>394</v>
      </c>
      <c r="X173" s="465">
        <v>0.33</v>
      </c>
      <c r="Y173" s="463" t="s">
        <v>393</v>
      </c>
      <c r="Z173" s="358">
        <v>15</v>
      </c>
    </row>
    <row r="174" spans="1:26" x14ac:dyDescent="0.2">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5" thickBot="1" x14ac:dyDescent="0.2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5" thickBot="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5" thickBot="1" x14ac:dyDescent="0.25">
      <c r="A178" s="361" t="s">
        <v>324</v>
      </c>
      <c r="B178" s="359">
        <f>ROW(A178)</f>
        <v>178</v>
      </c>
      <c r="C178" s="363" t="s">
        <v>115</v>
      </c>
      <c r="D178" s="353">
        <f>SUM(B181:Y181)</f>
        <v>73.557381500000005</v>
      </c>
      <c r="E178" s="363" t="s">
        <v>114</v>
      </c>
      <c r="F178" s="354">
        <f>D178/g/J178</f>
        <v>156.86619302308719</v>
      </c>
      <c r="G178" s="363" t="s">
        <v>56</v>
      </c>
      <c r="H178" s="64">
        <v>0.1022</v>
      </c>
      <c r="I178" s="363" t="s">
        <v>271</v>
      </c>
      <c r="J178" s="355">
        <f>H178-L178</f>
        <v>4.7800000000000002E-2</v>
      </c>
      <c r="K178" s="363" t="s">
        <v>272</v>
      </c>
      <c r="L178" s="64">
        <v>5.4399999999999997E-2</v>
      </c>
      <c r="M178" s="363" t="s">
        <v>57</v>
      </c>
      <c r="N178" s="396">
        <v>66.5</v>
      </c>
      <c r="O178" s="363" t="s">
        <v>59</v>
      </c>
      <c r="P178" s="396">
        <v>66.5</v>
      </c>
      <c r="Q178" s="363" t="s">
        <v>60</v>
      </c>
      <c r="R178" s="65">
        <v>133</v>
      </c>
      <c r="S178" s="363" t="s">
        <v>61</v>
      </c>
      <c r="T178" s="65">
        <v>24</v>
      </c>
      <c r="U178" s="363" t="s">
        <v>54</v>
      </c>
      <c r="V178" s="66" t="s">
        <v>399</v>
      </c>
      <c r="W178" s="463" t="s">
        <v>394</v>
      </c>
      <c r="X178" s="465">
        <v>2.36</v>
      </c>
      <c r="Y178" s="463" t="s">
        <v>393</v>
      </c>
      <c r="Z178" s="358">
        <v>6</v>
      </c>
    </row>
    <row r="179" spans="1:26" x14ac:dyDescent="0.2">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5" thickBot="1" x14ac:dyDescent="0.2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5" thickBot="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5" thickBot="1" x14ac:dyDescent="0.25">
      <c r="A183" s="361" t="s">
        <v>325</v>
      </c>
      <c r="B183" s="359">
        <f>ROW(A183)</f>
        <v>183</v>
      </c>
      <c r="C183" s="363" t="s">
        <v>115</v>
      </c>
      <c r="D183" s="353">
        <f>SUM(B186:Y186)</f>
        <v>73.169517999999997</v>
      </c>
      <c r="E183" s="363" t="s">
        <v>114</v>
      </c>
      <c r="F183" s="354">
        <f>D183/g/J183</f>
        <v>177.58729673316827</v>
      </c>
      <c r="G183" s="363" t="s">
        <v>56</v>
      </c>
      <c r="H183" s="64">
        <v>9.6000000000000002E-2</v>
      </c>
      <c r="I183" s="363" t="s">
        <v>271</v>
      </c>
      <c r="J183" s="355">
        <f>H183-L183</f>
        <v>4.2000000000000003E-2</v>
      </c>
      <c r="K183" s="363" t="s">
        <v>272</v>
      </c>
      <c r="L183" s="64">
        <v>5.3999999999999999E-2</v>
      </c>
      <c r="M183" s="363" t="s">
        <v>57</v>
      </c>
      <c r="N183" s="396">
        <v>66.5</v>
      </c>
      <c r="O183" s="363" t="s">
        <v>59</v>
      </c>
      <c r="P183" s="396">
        <v>66.5</v>
      </c>
      <c r="Q183" s="363" t="s">
        <v>60</v>
      </c>
      <c r="R183" s="65">
        <v>133</v>
      </c>
      <c r="S183" s="363" t="s">
        <v>61</v>
      </c>
      <c r="T183" s="65">
        <v>24</v>
      </c>
      <c r="U183" s="363" t="s">
        <v>54</v>
      </c>
      <c r="V183" s="66" t="s">
        <v>400</v>
      </c>
      <c r="W183" s="463" t="s">
        <v>394</v>
      </c>
      <c r="X183" s="465">
        <v>0.87</v>
      </c>
      <c r="Y183" s="463" t="s">
        <v>393</v>
      </c>
      <c r="Z183" s="358">
        <v>15</v>
      </c>
    </row>
    <row r="184" spans="1:26" x14ac:dyDescent="0.2">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5" thickBot="1" x14ac:dyDescent="0.2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5" thickBot="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5" thickBot="1" x14ac:dyDescent="0.25">
      <c r="A188" s="361" t="s">
        <v>326</v>
      </c>
      <c r="B188" s="359">
        <f>ROW(A188)</f>
        <v>188</v>
      </c>
      <c r="C188" s="363" t="s">
        <v>115</v>
      </c>
      <c r="D188" s="353">
        <f>SUM(B191:Y191)</f>
        <v>75.254384000000016</v>
      </c>
      <c r="E188" s="363" t="s">
        <v>114</v>
      </c>
      <c r="F188" s="354">
        <f>D188/g/J188</f>
        <v>232.46033422914161</v>
      </c>
      <c r="G188" s="363" t="s">
        <v>56</v>
      </c>
      <c r="H188" s="64">
        <v>9.5000000000000001E-2</v>
      </c>
      <c r="I188" s="363" t="s">
        <v>271</v>
      </c>
      <c r="J188" s="355">
        <f>H188-L188</f>
        <v>3.3000000000000002E-2</v>
      </c>
      <c r="K188" s="363" t="s">
        <v>272</v>
      </c>
      <c r="L188" s="64">
        <f>0.095-0.033</f>
        <v>6.2E-2</v>
      </c>
      <c r="M188" s="363" t="s">
        <v>57</v>
      </c>
      <c r="N188" s="396">
        <v>66.5</v>
      </c>
      <c r="O188" s="363" t="s">
        <v>59</v>
      </c>
      <c r="P188" s="396">
        <v>66.5</v>
      </c>
      <c r="Q188" s="363" t="s">
        <v>60</v>
      </c>
      <c r="R188" s="65">
        <v>133</v>
      </c>
      <c r="S188" s="363" t="s">
        <v>61</v>
      </c>
      <c r="T188" s="65">
        <v>24</v>
      </c>
      <c r="U188" s="363" t="s">
        <v>54</v>
      </c>
      <c r="V188" s="66" t="s">
        <v>400</v>
      </c>
      <c r="W188" s="463" t="s">
        <v>394</v>
      </c>
      <c r="X188" s="465">
        <v>1.5</v>
      </c>
      <c r="Y188" s="463" t="s">
        <v>393</v>
      </c>
      <c r="Z188" s="358">
        <v>12</v>
      </c>
    </row>
    <row r="189" spans="1:26" x14ac:dyDescent="0.2">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5" thickBot="1" x14ac:dyDescent="0.2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5" thickBot="1" x14ac:dyDescent="0.25">
      <c r="A192" s="6" t="s">
        <v>373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5" thickBot="1" x14ac:dyDescent="0.25">
      <c r="A193" s="361" t="s">
        <v>536</v>
      </c>
      <c r="B193" s="359">
        <f>ROW(A193)</f>
        <v>193</v>
      </c>
      <c r="C193" s="363" t="s">
        <v>115</v>
      </c>
      <c r="D193" s="353">
        <f>SUM(B196:Y196)</f>
        <v>141.04999999999998</v>
      </c>
      <c r="E193" s="363" t="s">
        <v>114</v>
      </c>
      <c r="F193" s="354">
        <f>D193/g/J193</f>
        <v>186.24592648930721</v>
      </c>
      <c r="G193" s="363" t="s">
        <v>56</v>
      </c>
      <c r="H193" s="64">
        <v>0.16189999999999999</v>
      </c>
      <c r="I193" s="363" t="s">
        <v>271</v>
      </c>
      <c r="J193" s="355">
        <f>H193-L193</f>
        <v>7.7199999999999991E-2</v>
      </c>
      <c r="K193" s="363" t="s">
        <v>272</v>
      </c>
      <c r="L193" s="64">
        <v>8.4699999999999998E-2</v>
      </c>
      <c r="M193" s="363" t="s">
        <v>57</v>
      </c>
      <c r="N193" s="65">
        <v>114</v>
      </c>
      <c r="O193" s="363" t="s">
        <v>59</v>
      </c>
      <c r="P193" s="65">
        <v>114</v>
      </c>
      <c r="Q193" s="363" t="s">
        <v>60</v>
      </c>
      <c r="R193" s="65">
        <v>228</v>
      </c>
      <c r="S193" s="363" t="s">
        <v>61</v>
      </c>
      <c r="T193" s="65">
        <v>24</v>
      </c>
      <c r="U193" s="363" t="s">
        <v>54</v>
      </c>
      <c r="V193" s="66" t="s">
        <v>119</v>
      </c>
      <c r="W193" s="463" t="s">
        <v>394</v>
      </c>
      <c r="X193" s="465">
        <v>0.96</v>
      </c>
      <c r="Y193" s="463" t="s">
        <v>393</v>
      </c>
      <c r="Z193" s="358">
        <v>15</v>
      </c>
    </row>
    <row r="194" spans="1:26" x14ac:dyDescent="0.2">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5" thickBot="1" x14ac:dyDescent="0.2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5" thickBot="1" x14ac:dyDescent="0.25">
      <c r="A197" s="12" t="s">
        <v>545</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5" thickBot="1" x14ac:dyDescent="0.25">
      <c r="A198" s="361" t="s">
        <v>548</v>
      </c>
      <c r="B198" s="359">
        <f>ROW(A198)</f>
        <v>198</v>
      </c>
      <c r="C198" s="363" t="s">
        <v>115</v>
      </c>
      <c r="D198" s="353">
        <f>SUM(B201:Y201)</f>
        <v>142.44</v>
      </c>
      <c r="E198" s="363" t="s">
        <v>114</v>
      </c>
      <c r="F198" s="354">
        <f>D198/g/J198</f>
        <v>192.06187401906058</v>
      </c>
      <c r="G198" s="363" t="s">
        <v>56</v>
      </c>
      <c r="H198" s="64">
        <v>0.15989999999999999</v>
      </c>
      <c r="I198" s="363" t="s">
        <v>271</v>
      </c>
      <c r="J198" s="355">
        <f>H198-L198</f>
        <v>7.5599999999999987E-2</v>
      </c>
      <c r="K198" s="363" t="s">
        <v>272</v>
      </c>
      <c r="L198" s="64">
        <v>8.43E-2</v>
      </c>
      <c r="M198" s="363" t="s">
        <v>57</v>
      </c>
      <c r="N198" s="65">
        <v>114</v>
      </c>
      <c r="O198" s="363" t="s">
        <v>59</v>
      </c>
      <c r="P198" s="65">
        <v>114</v>
      </c>
      <c r="Q198" s="363" t="s">
        <v>60</v>
      </c>
      <c r="R198" s="65">
        <v>228</v>
      </c>
      <c r="S198" s="363" t="s">
        <v>61</v>
      </c>
      <c r="T198" s="65">
        <v>24</v>
      </c>
      <c r="U198" s="363" t="s">
        <v>54</v>
      </c>
      <c r="V198" s="66" t="s">
        <v>401</v>
      </c>
      <c r="W198" s="463" t="s">
        <v>394</v>
      </c>
      <c r="X198" s="465">
        <v>0.97</v>
      </c>
      <c r="Y198" s="463" t="s">
        <v>393</v>
      </c>
      <c r="Z198" s="358">
        <v>13</v>
      </c>
    </row>
    <row r="199" spans="1:26" x14ac:dyDescent="0.2">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5" thickBot="1" x14ac:dyDescent="0.2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5" thickBot="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5" thickBot="1" x14ac:dyDescent="0.25">
      <c r="A203" s="361" t="s">
        <v>538</v>
      </c>
      <c r="B203" s="359">
        <f>ROW(A203)</f>
        <v>203</v>
      </c>
      <c r="C203" s="363" t="s">
        <v>115</v>
      </c>
      <c r="D203" s="353">
        <f>SUM(B206:Y206)</f>
        <v>143.08845000000002</v>
      </c>
      <c r="E203" s="363" t="s">
        <v>114</v>
      </c>
      <c r="F203" s="354">
        <f>D203/g/J203</f>
        <v>168.23504721190514</v>
      </c>
      <c r="G203" s="363" t="s">
        <v>56</v>
      </c>
      <c r="H203" s="64">
        <v>0.17249999999999999</v>
      </c>
      <c r="I203" s="363" t="s">
        <v>271</v>
      </c>
      <c r="J203" s="355">
        <f>H203-L203</f>
        <v>8.6699999999999985E-2</v>
      </c>
      <c r="K203" s="363" t="s">
        <v>272</v>
      </c>
      <c r="L203" s="64">
        <v>8.5800000000000001E-2</v>
      </c>
      <c r="M203" s="363" t="s">
        <v>57</v>
      </c>
      <c r="N203" s="65">
        <v>114</v>
      </c>
      <c r="O203" s="363" t="s">
        <v>59</v>
      </c>
      <c r="P203" s="65">
        <v>114</v>
      </c>
      <c r="Q203" s="363" t="s">
        <v>60</v>
      </c>
      <c r="R203" s="65">
        <v>228</v>
      </c>
      <c r="S203" s="363" t="s">
        <v>61</v>
      </c>
      <c r="T203" s="65">
        <v>24</v>
      </c>
      <c r="U203" s="363" t="s">
        <v>54</v>
      </c>
      <c r="V203" s="66" t="s">
        <v>119</v>
      </c>
      <c r="W203" s="463" t="s">
        <v>394</v>
      </c>
      <c r="X203" s="465">
        <v>0.97</v>
      </c>
      <c r="Y203" s="463" t="s">
        <v>393</v>
      </c>
      <c r="Z203" s="358">
        <v>11</v>
      </c>
    </row>
    <row r="204" spans="1:26" x14ac:dyDescent="0.2">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5" thickBot="1" x14ac:dyDescent="0.2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5" thickBot="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5" thickBot="1" x14ac:dyDescent="0.25">
      <c r="A208" s="361" t="s">
        <v>537</v>
      </c>
      <c r="B208" s="359">
        <f>ROW(A208)</f>
        <v>208</v>
      </c>
      <c r="C208" s="363" t="s">
        <v>115</v>
      </c>
      <c r="D208" s="353">
        <f>SUM(B211:Y211)</f>
        <v>139.423417</v>
      </c>
      <c r="E208" s="363" t="s">
        <v>114</v>
      </c>
      <c r="F208" s="354">
        <f>D208/g/J208</f>
        <v>158.62027745922524</v>
      </c>
      <c r="G208" s="363" t="s">
        <v>56</v>
      </c>
      <c r="H208" s="64">
        <v>0.19450000000000001</v>
      </c>
      <c r="I208" s="363" t="s">
        <v>271</v>
      </c>
      <c r="J208" s="355">
        <f>H208-L208</f>
        <v>8.9600000000000013E-2</v>
      </c>
      <c r="K208" s="363" t="s">
        <v>272</v>
      </c>
      <c r="L208" s="64">
        <v>0.10489999999999999</v>
      </c>
      <c r="M208" s="363" t="s">
        <v>57</v>
      </c>
      <c r="N208" s="65">
        <v>114</v>
      </c>
      <c r="O208" s="363" t="s">
        <v>59</v>
      </c>
      <c r="P208" s="65">
        <v>144</v>
      </c>
      <c r="Q208" s="363" t="s">
        <v>60</v>
      </c>
      <c r="R208" s="65">
        <v>228</v>
      </c>
      <c r="S208" s="363" t="s">
        <v>61</v>
      </c>
      <c r="T208" s="65">
        <v>24</v>
      </c>
      <c r="U208" s="363" t="s">
        <v>54</v>
      </c>
      <c r="V208" s="66" t="s">
        <v>119</v>
      </c>
      <c r="W208" s="463" t="s">
        <v>394</v>
      </c>
      <c r="X208" s="465">
        <v>1.3</v>
      </c>
      <c r="Y208" s="463" t="s">
        <v>393</v>
      </c>
      <c r="Z208" s="358">
        <v>12</v>
      </c>
    </row>
    <row r="209" spans="1:26" x14ac:dyDescent="0.2">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5" thickBot="1" x14ac:dyDescent="0.2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5" thickBot="1" x14ac:dyDescent="0.25">
      <c r="A212" s="6" t="s">
        <v>316</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5" thickBot="1" x14ac:dyDescent="0.25">
      <c r="A213" s="361" t="s">
        <v>375</v>
      </c>
      <c r="B213" s="359">
        <f>ROW(A213)</f>
        <v>213</v>
      </c>
      <c r="C213" s="363" t="s">
        <v>115</v>
      </c>
      <c r="D213" s="353">
        <f>SUM(B216:Y216)</f>
        <v>82.798500000000018</v>
      </c>
      <c r="E213" s="363" t="s">
        <v>114</v>
      </c>
      <c r="F213" s="354">
        <f>D213/g/J213</f>
        <v>131.87834480122325</v>
      </c>
      <c r="G213" s="363" t="s">
        <v>56</v>
      </c>
      <c r="H213" s="64">
        <v>0.152</v>
      </c>
      <c r="I213" s="363" t="s">
        <v>271</v>
      </c>
      <c r="J213" s="355">
        <f>H213-L213</f>
        <v>6.4000000000000001E-2</v>
      </c>
      <c r="K213" s="363" t="s">
        <v>272</v>
      </c>
      <c r="L213" s="64">
        <v>8.7999999999999995E-2</v>
      </c>
      <c r="M213" s="363" t="s">
        <v>57</v>
      </c>
      <c r="N213" s="65">
        <v>71</v>
      </c>
      <c r="O213" s="363" t="s">
        <v>59</v>
      </c>
      <c r="P213" s="65">
        <v>71</v>
      </c>
      <c r="Q213" s="363" t="s">
        <v>60</v>
      </c>
      <c r="R213" s="65">
        <v>142</v>
      </c>
      <c r="S213" s="363" t="s">
        <v>61</v>
      </c>
      <c r="T213" s="65">
        <v>29</v>
      </c>
      <c r="U213" s="363" t="s">
        <v>54</v>
      </c>
      <c r="V213" s="66" t="s">
        <v>119</v>
      </c>
      <c r="W213" s="463" t="s">
        <v>394</v>
      </c>
      <c r="X213" s="465">
        <v>0.96</v>
      </c>
      <c r="Y213" s="463" t="s">
        <v>393</v>
      </c>
      <c r="Z213" s="358">
        <v>11</v>
      </c>
    </row>
    <row r="214" spans="1:26" x14ac:dyDescent="0.2">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5" thickBot="1" x14ac:dyDescent="0.2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5" thickBot="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5" thickBot="1" x14ac:dyDescent="0.25">
      <c r="A218" s="361" t="s">
        <v>376</v>
      </c>
      <c r="B218" s="359">
        <f>ROW(A218)</f>
        <v>218</v>
      </c>
      <c r="C218" s="363" t="s">
        <v>115</v>
      </c>
      <c r="D218" s="353">
        <f>SUM(B221:Y221)</f>
        <v>98.257101163036367</v>
      </c>
      <c r="E218" s="363" t="s">
        <v>114</v>
      </c>
      <c r="F218" s="354">
        <f>D218/g/J218</f>
        <v>177.58890761893778</v>
      </c>
      <c r="G218" s="363" t="s">
        <v>56</v>
      </c>
      <c r="H218" s="64">
        <v>0.14319999999999999</v>
      </c>
      <c r="I218" s="363" t="s">
        <v>271</v>
      </c>
      <c r="J218" s="355">
        <f>H218-L218</f>
        <v>5.6399999999999992E-2</v>
      </c>
      <c r="K218" s="363" t="s">
        <v>272</v>
      </c>
      <c r="L218" s="64">
        <v>8.6800000000000002E-2</v>
      </c>
      <c r="M218" s="363" t="s">
        <v>57</v>
      </c>
      <c r="N218" s="65">
        <v>71</v>
      </c>
      <c r="O218" s="363" t="s">
        <v>59</v>
      </c>
      <c r="P218" s="65">
        <v>71</v>
      </c>
      <c r="Q218" s="363" t="s">
        <v>60</v>
      </c>
      <c r="R218" s="65">
        <v>142</v>
      </c>
      <c r="S218" s="363" t="s">
        <v>61</v>
      </c>
      <c r="T218" s="65">
        <v>29</v>
      </c>
      <c r="U218" s="363" t="s">
        <v>54</v>
      </c>
      <c r="V218" s="66" t="s">
        <v>119</v>
      </c>
      <c r="W218" s="463" t="s">
        <v>394</v>
      </c>
      <c r="X218" s="465">
        <v>1.1499999999999999</v>
      </c>
      <c r="Y218" s="463" t="s">
        <v>393</v>
      </c>
      <c r="Z218" s="358">
        <v>14</v>
      </c>
    </row>
    <row r="219" spans="1:26" x14ac:dyDescent="0.2">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5" thickBot="1" x14ac:dyDescent="0.2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5" thickBot="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5" thickBot="1" x14ac:dyDescent="0.25">
      <c r="A223" s="361" t="s">
        <v>377</v>
      </c>
      <c r="B223" s="359">
        <f>ROW(A223)</f>
        <v>223</v>
      </c>
      <c r="C223" s="363" t="s">
        <v>115</v>
      </c>
      <c r="D223" s="353">
        <f>SUM(B226:Y226)</f>
        <v>109.60639850000001</v>
      </c>
      <c r="E223" s="363" t="s">
        <v>114</v>
      </c>
      <c r="F223" s="354">
        <f>D223/g/J223</f>
        <v>194.31174666489383</v>
      </c>
      <c r="G223" s="363" t="s">
        <v>56</v>
      </c>
      <c r="H223" s="64">
        <v>0.14130000000000001</v>
      </c>
      <c r="I223" s="363" t="s">
        <v>271</v>
      </c>
      <c r="J223" s="355">
        <f>H223-L223</f>
        <v>5.7500000000000009E-2</v>
      </c>
      <c r="K223" s="363" t="s">
        <v>272</v>
      </c>
      <c r="L223" s="64">
        <v>8.3799999999999999E-2</v>
      </c>
      <c r="M223" s="363" t="s">
        <v>57</v>
      </c>
      <c r="N223" s="65">
        <v>71</v>
      </c>
      <c r="O223" s="363" t="s">
        <v>59</v>
      </c>
      <c r="P223" s="65">
        <v>71</v>
      </c>
      <c r="Q223" s="363" t="s">
        <v>60</v>
      </c>
      <c r="R223" s="65">
        <v>142</v>
      </c>
      <c r="S223" s="363" t="s">
        <v>61</v>
      </c>
      <c r="T223" s="65">
        <v>29</v>
      </c>
      <c r="U223" s="363" t="s">
        <v>54</v>
      </c>
      <c r="V223" s="66" t="s">
        <v>401</v>
      </c>
      <c r="W223" s="463" t="s">
        <v>394</v>
      </c>
      <c r="X223" s="465">
        <v>0.45</v>
      </c>
      <c r="Y223" s="463" t="s">
        <v>393</v>
      </c>
      <c r="Z223" s="358">
        <v>14</v>
      </c>
    </row>
    <row r="224" spans="1:26" x14ac:dyDescent="0.2">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5" thickBot="1" x14ac:dyDescent="0.2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5" thickBot="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5" thickBot="1" x14ac:dyDescent="0.25">
      <c r="A228" s="361" t="s">
        <v>378</v>
      </c>
      <c r="B228" s="359">
        <f>ROW(A228)</f>
        <v>228</v>
      </c>
      <c r="C228" s="363" t="s">
        <v>115</v>
      </c>
      <c r="D228" s="353">
        <f>SUM(B231:Y231)</f>
        <v>115.63</v>
      </c>
      <c r="E228" s="363" t="s">
        <v>114</v>
      </c>
      <c r="F228" s="354">
        <f>D228/g/J228</f>
        <v>199.77884897804037</v>
      </c>
      <c r="G228" s="363" t="s">
        <v>56</v>
      </c>
      <c r="H228" s="64">
        <v>0.14499999999999999</v>
      </c>
      <c r="I228" s="363" t="s">
        <v>271</v>
      </c>
      <c r="J228" s="355">
        <f>H228-L228</f>
        <v>5.8999999999999997E-2</v>
      </c>
      <c r="K228" s="363" t="s">
        <v>272</v>
      </c>
      <c r="L228" s="64">
        <v>8.5999999999999993E-2</v>
      </c>
      <c r="M228" s="363" t="s">
        <v>57</v>
      </c>
      <c r="N228" s="65">
        <v>71</v>
      </c>
      <c r="O228" s="363" t="s">
        <v>59</v>
      </c>
      <c r="P228" s="65">
        <v>71</v>
      </c>
      <c r="Q228" s="363" t="s">
        <v>60</v>
      </c>
      <c r="R228" s="65">
        <v>142</v>
      </c>
      <c r="S228" s="363" t="s">
        <v>61</v>
      </c>
      <c r="T228" s="65">
        <v>29</v>
      </c>
      <c r="U228" s="363" t="s">
        <v>54</v>
      </c>
      <c r="V228" s="66" t="s">
        <v>400</v>
      </c>
      <c r="W228" s="463" t="s">
        <v>394</v>
      </c>
      <c r="X228" s="465">
        <v>0.93</v>
      </c>
      <c r="Y228" s="463" t="s">
        <v>393</v>
      </c>
      <c r="Z228" s="358">
        <v>13</v>
      </c>
    </row>
    <row r="229" spans="1:26" x14ac:dyDescent="0.2">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5" thickBot="1" x14ac:dyDescent="0.2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5" thickBot="1" x14ac:dyDescent="0.25">
      <c r="A232" s="6" t="s">
        <v>386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5" thickBot="1" x14ac:dyDescent="0.25">
      <c r="A233" s="361" t="s">
        <v>387</v>
      </c>
      <c r="B233" s="359">
        <f>ROW(A233)</f>
        <v>233</v>
      </c>
      <c r="C233" s="363" t="s">
        <v>115</v>
      </c>
      <c r="D233" s="353">
        <f>SUM(B236:Y236)</f>
        <v>115.63</v>
      </c>
      <c r="E233" s="363" t="s">
        <v>114</v>
      </c>
      <c r="F233" s="354">
        <f>D233/g/J233</f>
        <v>125.39310733728064</v>
      </c>
      <c r="G233" s="363" t="s">
        <v>56</v>
      </c>
      <c r="H233" s="64">
        <v>0.2</v>
      </c>
      <c r="I233" s="363" t="s">
        <v>271</v>
      </c>
      <c r="J233" s="355">
        <f>H233-L233</f>
        <v>9.4000000000000014E-2</v>
      </c>
      <c r="K233" s="363" t="s">
        <v>272</v>
      </c>
      <c r="L233" s="64">
        <v>0.106</v>
      </c>
      <c r="M233" s="363" t="s">
        <v>57</v>
      </c>
      <c r="N233" s="65">
        <v>93</v>
      </c>
      <c r="O233" s="363" t="s">
        <v>59</v>
      </c>
      <c r="P233" s="65">
        <v>93</v>
      </c>
      <c r="Q233" s="363" t="s">
        <v>60</v>
      </c>
      <c r="R233" s="65">
        <v>187</v>
      </c>
      <c r="S233" s="363" t="s">
        <v>61</v>
      </c>
      <c r="T233" s="65">
        <v>29</v>
      </c>
      <c r="U233" s="363" t="s">
        <v>54</v>
      </c>
      <c r="V233" s="66" t="s">
        <v>119</v>
      </c>
      <c r="W233" s="463" t="s">
        <v>394</v>
      </c>
      <c r="X233" s="465">
        <v>0.96</v>
      </c>
      <c r="Y233" s="463" t="s">
        <v>393</v>
      </c>
      <c r="Z233" s="358">
        <v>14</v>
      </c>
    </row>
    <row r="234" spans="1:26" x14ac:dyDescent="0.2">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5" thickBot="1" x14ac:dyDescent="0.2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5" thickBot="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5" thickBot="1" x14ac:dyDescent="0.25">
      <c r="A238" s="361" t="s">
        <v>392</v>
      </c>
      <c r="B238" s="359">
        <f>ROW(A238)</f>
        <v>238</v>
      </c>
      <c r="C238" s="363" t="s">
        <v>115</v>
      </c>
      <c r="D238" s="353">
        <f>SUM(B241:Y241)</f>
        <v>158.04815100000002</v>
      </c>
      <c r="E238" s="363" t="s">
        <v>114</v>
      </c>
      <c r="F238" s="354">
        <v>198</v>
      </c>
      <c r="G238" s="363" t="s">
        <v>56</v>
      </c>
      <c r="H238" s="64">
        <v>0.19450000000000001</v>
      </c>
      <c r="I238" s="363" t="s">
        <v>271</v>
      </c>
      <c r="J238" s="355">
        <f>H238-L238</f>
        <v>8.9600000000000013E-2</v>
      </c>
      <c r="K238" s="363" t="s">
        <v>272</v>
      </c>
      <c r="L238" s="64">
        <v>0.10489999999999999</v>
      </c>
      <c r="M238" s="363" t="s">
        <v>57</v>
      </c>
      <c r="N238" s="65">
        <v>93</v>
      </c>
      <c r="O238" s="363" t="s">
        <v>59</v>
      </c>
      <c r="P238" s="65">
        <v>93</v>
      </c>
      <c r="Q238" s="363" t="s">
        <v>60</v>
      </c>
      <c r="R238" s="65">
        <v>187</v>
      </c>
      <c r="S238" s="363" t="s">
        <v>61</v>
      </c>
      <c r="T238" s="65">
        <v>29</v>
      </c>
      <c r="U238" s="363" t="s">
        <v>54</v>
      </c>
      <c r="V238" s="66" t="s">
        <v>119</v>
      </c>
      <c r="W238" s="463" t="s">
        <v>394</v>
      </c>
      <c r="X238" s="465">
        <v>1.27</v>
      </c>
      <c r="Y238" s="463" t="s">
        <v>393</v>
      </c>
      <c r="Z238" s="358">
        <v>14</v>
      </c>
    </row>
    <row r="239" spans="1:26" x14ac:dyDescent="0.2">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5" thickBot="1" x14ac:dyDescent="0.2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5" thickBot="1" x14ac:dyDescent="0.25">
      <c r="A242" s="6" t="s">
        <v>374</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5" thickBot="1" x14ac:dyDescent="0.25">
      <c r="A243" s="361" t="s">
        <v>379</v>
      </c>
      <c r="B243" s="359">
        <f>ROW(A243)</f>
        <v>243</v>
      </c>
      <c r="C243" s="363" t="s">
        <v>115</v>
      </c>
      <c r="D243" s="353">
        <f>SUM(B246:Y246)</f>
        <v>136.75235000000001</v>
      </c>
      <c r="E243" s="363" t="s">
        <v>114</v>
      </c>
      <c r="F243" s="354">
        <f>D243/g/J243</f>
        <v>152.35078513616639</v>
      </c>
      <c r="G243" s="363" t="s">
        <v>56</v>
      </c>
      <c r="H243" s="64">
        <v>0.21249999999999999</v>
      </c>
      <c r="I243" s="363" t="s">
        <v>271</v>
      </c>
      <c r="J243" s="355">
        <f>H243-L243</f>
        <v>9.1499999999999998E-2</v>
      </c>
      <c r="K243" s="363" t="s">
        <v>272</v>
      </c>
      <c r="L243" s="64">
        <v>0.121</v>
      </c>
      <c r="M243" s="363" t="s">
        <v>57</v>
      </c>
      <c r="N243" s="65">
        <v>63</v>
      </c>
      <c r="O243" s="363" t="s">
        <v>59</v>
      </c>
      <c r="P243" s="65">
        <v>114</v>
      </c>
      <c r="Q243" s="363" t="s">
        <v>60</v>
      </c>
      <c r="R243" s="65">
        <v>127</v>
      </c>
      <c r="S243" s="363" t="s">
        <v>61</v>
      </c>
      <c r="T243" s="65">
        <v>38</v>
      </c>
      <c r="U243" s="363" t="s">
        <v>54</v>
      </c>
      <c r="V243" s="66" t="s">
        <v>119</v>
      </c>
      <c r="W243" s="463" t="s">
        <v>394</v>
      </c>
      <c r="X243" s="465">
        <v>2.36</v>
      </c>
      <c r="Y243" s="463" t="s">
        <v>393</v>
      </c>
      <c r="Z243" s="358">
        <v>13</v>
      </c>
    </row>
    <row r="244" spans="1:26" x14ac:dyDescent="0.2">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5" thickBot="1" x14ac:dyDescent="0.2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5" thickBot="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5" thickBot="1" x14ac:dyDescent="0.25">
      <c r="A248" s="361" t="s">
        <v>380</v>
      </c>
      <c r="B248" s="359">
        <f>ROW(A248)</f>
        <v>248</v>
      </c>
      <c r="C248" s="363" t="s">
        <v>115</v>
      </c>
      <c r="D248" s="353">
        <f>SUM(B251:Y251)</f>
        <v>127.06944999999999</v>
      </c>
      <c r="E248" s="363" t="s">
        <v>114</v>
      </c>
      <c r="F248" s="354">
        <f>D248/g/J248</f>
        <v>180.65624835614466</v>
      </c>
      <c r="G248" s="363" t="s">
        <v>56</v>
      </c>
      <c r="H248" s="64">
        <v>0.18840000000000001</v>
      </c>
      <c r="I248" s="363" t="s">
        <v>271</v>
      </c>
      <c r="J248" s="355">
        <f>H248-L248</f>
        <v>7.1700000000000014E-2</v>
      </c>
      <c r="K248" s="363" t="s">
        <v>272</v>
      </c>
      <c r="L248" s="64">
        <v>0.1167</v>
      </c>
      <c r="M248" s="363" t="s">
        <v>57</v>
      </c>
      <c r="N248" s="65">
        <v>63</v>
      </c>
      <c r="O248" s="363" t="s">
        <v>59</v>
      </c>
      <c r="P248" s="65">
        <v>114</v>
      </c>
      <c r="Q248" s="363" t="s">
        <v>60</v>
      </c>
      <c r="R248" s="65">
        <v>127</v>
      </c>
      <c r="S248" s="363" t="s">
        <v>61</v>
      </c>
      <c r="T248" s="65">
        <v>38</v>
      </c>
      <c r="U248" s="363" t="s">
        <v>54</v>
      </c>
      <c r="V248" s="66" t="s">
        <v>119</v>
      </c>
      <c r="W248" s="463" t="s">
        <v>394</v>
      </c>
      <c r="X248" s="465">
        <v>0.69</v>
      </c>
      <c r="Y248" s="463" t="s">
        <v>393</v>
      </c>
      <c r="Z248" s="358">
        <v>12</v>
      </c>
    </row>
    <row r="249" spans="1:26" x14ac:dyDescent="0.2">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5" thickBot="1" x14ac:dyDescent="0.2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5" thickBot="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5" thickBot="1" x14ac:dyDescent="0.25">
      <c r="A253" s="361" t="s">
        <v>388</v>
      </c>
      <c r="B253" s="359">
        <f>ROW(A253)</f>
        <v>253</v>
      </c>
      <c r="C253" s="363" t="s">
        <v>115</v>
      </c>
      <c r="D253" s="353">
        <f>SUM(B256:Y256)</f>
        <v>142.7236025</v>
      </c>
      <c r="E253" s="363" t="s">
        <v>114</v>
      </c>
      <c r="F253" s="354">
        <v>208</v>
      </c>
      <c r="G253" s="363" t="s">
        <v>56</v>
      </c>
      <c r="H253" s="64">
        <v>0.19700000000000001</v>
      </c>
      <c r="I253" s="363" t="s">
        <v>271</v>
      </c>
      <c r="J253" s="355">
        <f>H253-L253</f>
        <v>7.0000000000000007E-2</v>
      </c>
      <c r="K253" s="363" t="s">
        <v>272</v>
      </c>
      <c r="L253" s="64">
        <v>0.127</v>
      </c>
      <c r="M253" s="363" t="s">
        <v>57</v>
      </c>
      <c r="N253" s="65">
        <v>63</v>
      </c>
      <c r="O253" s="363" t="s">
        <v>59</v>
      </c>
      <c r="P253" s="65">
        <v>114</v>
      </c>
      <c r="Q253" s="363" t="s">
        <v>60</v>
      </c>
      <c r="R253" s="65">
        <v>127</v>
      </c>
      <c r="S253" s="363" t="s">
        <v>61</v>
      </c>
      <c r="T253" s="65">
        <v>38</v>
      </c>
      <c r="U253" s="363" t="s">
        <v>54</v>
      </c>
      <c r="V253" s="66" t="s">
        <v>119</v>
      </c>
      <c r="W253" s="463" t="s">
        <v>394</v>
      </c>
      <c r="X253" s="465">
        <v>1.8</v>
      </c>
      <c r="Y253" s="463" t="s">
        <v>393</v>
      </c>
      <c r="Z253" s="358">
        <v>15</v>
      </c>
    </row>
    <row r="254" spans="1:26" x14ac:dyDescent="0.2">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5" thickBot="1" x14ac:dyDescent="0.2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5" thickBot="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5" thickBot="1" x14ac:dyDescent="0.25">
      <c r="A258" s="361" t="s">
        <v>274</v>
      </c>
      <c r="B258" s="360">
        <f>ROW(A258)</f>
        <v>258</v>
      </c>
      <c r="C258" s="363" t="s">
        <v>115</v>
      </c>
      <c r="D258" s="353">
        <f>SUM(B261:Y261)</f>
        <v>33.500000000000007</v>
      </c>
      <c r="E258" s="363" t="s">
        <v>114</v>
      </c>
      <c r="F258" s="354">
        <f>D258/g/J258</f>
        <v>68.297655453618759</v>
      </c>
      <c r="G258" s="363" t="s">
        <v>56</v>
      </c>
      <c r="H258" s="64">
        <v>8.5000000000000006E-2</v>
      </c>
      <c r="I258" s="363" t="s">
        <v>271</v>
      </c>
      <c r="J258" s="355">
        <f>H258-L258</f>
        <v>0.05</v>
      </c>
      <c r="K258" s="363" t="s">
        <v>272</v>
      </c>
      <c r="L258" s="64">
        <v>3.5000000000000003E-2</v>
      </c>
      <c r="M258" s="363" t="s">
        <v>57</v>
      </c>
      <c r="N258" s="65">
        <v>20</v>
      </c>
      <c r="O258" s="363" t="s">
        <v>59</v>
      </c>
      <c r="P258" s="65">
        <v>20</v>
      </c>
      <c r="Q258" s="363" t="s">
        <v>60</v>
      </c>
      <c r="R258" s="65">
        <v>39</v>
      </c>
      <c r="S258" s="363" t="s">
        <v>61</v>
      </c>
      <c r="T258" s="65">
        <v>39</v>
      </c>
      <c r="U258" s="363" t="s">
        <v>54</v>
      </c>
      <c r="V258" s="66" t="s">
        <v>401</v>
      </c>
      <c r="W258" s="12"/>
      <c r="X258" s="12"/>
      <c r="Y258" s="12"/>
    </row>
    <row r="259" spans="1:25" x14ac:dyDescent="0.2">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5" thickBot="1" x14ac:dyDescent="0.2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5" thickBot="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5" thickBot="1" x14ac:dyDescent="0.25">
      <c r="A263" s="361" t="s">
        <v>275</v>
      </c>
      <c r="B263" s="359">
        <f>ROW(A263)</f>
        <v>263</v>
      </c>
      <c r="C263" s="363" t="s">
        <v>115</v>
      </c>
      <c r="D263" s="353">
        <f>SUM(B266:Y266)</f>
        <v>145.46</v>
      </c>
      <c r="E263" s="363" t="s">
        <v>114</v>
      </c>
      <c r="F263" s="354">
        <f>D263/g/J263</f>
        <v>211.82466870540264</v>
      </c>
      <c r="G263" s="363" t="s">
        <v>56</v>
      </c>
      <c r="H263" s="64">
        <v>0.22</v>
      </c>
      <c r="I263" s="363" t="s">
        <v>271</v>
      </c>
      <c r="J263" s="355">
        <f>H263-L263</f>
        <v>7.0000000000000007E-2</v>
      </c>
      <c r="K263" s="363" t="s">
        <v>272</v>
      </c>
      <c r="L263" s="64">
        <v>0.15</v>
      </c>
      <c r="M263" s="363" t="s">
        <v>57</v>
      </c>
      <c r="N263" s="65">
        <v>50</v>
      </c>
      <c r="O263" s="363" t="s">
        <v>59</v>
      </c>
      <c r="P263" s="65">
        <v>55</v>
      </c>
      <c r="Q263" s="363" t="s">
        <v>60</v>
      </c>
      <c r="R263" s="65">
        <v>76</v>
      </c>
      <c r="S263" s="363" t="s">
        <v>61</v>
      </c>
      <c r="T263" s="65">
        <v>40</v>
      </c>
      <c r="U263" s="363" t="s">
        <v>54</v>
      </c>
      <c r="V263" s="66" t="s">
        <v>401</v>
      </c>
      <c r="W263" s="12"/>
      <c r="X263" s="12"/>
      <c r="Y263" s="12"/>
    </row>
    <row r="264" spans="1:25" x14ac:dyDescent="0.2">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5" thickBot="1" x14ac:dyDescent="0.2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5" thickBot="1" x14ac:dyDescent="0.25">
      <c r="A268" s="6" t="s">
        <v>313</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5" thickBot="1" x14ac:dyDescent="0.25">
      <c r="A269" s="361" t="s">
        <v>35</v>
      </c>
      <c r="B269" s="359">
        <f>ROW(A269)</f>
        <v>269</v>
      </c>
      <c r="C269" s="363" t="s">
        <v>115</v>
      </c>
      <c r="D269" s="353">
        <f>SUM(B272:Y272)</f>
        <v>1071.5999999999999</v>
      </c>
      <c r="E269" s="363" t="s">
        <v>114</v>
      </c>
      <c r="F269" s="354">
        <f>D269/g/J269</f>
        <v>163.03802090465106</v>
      </c>
      <c r="G269" s="363" t="s">
        <v>56</v>
      </c>
      <c r="H269" s="64">
        <v>2.02</v>
      </c>
      <c r="I269" s="363" t="s">
        <v>271</v>
      </c>
      <c r="J269" s="355">
        <f>H269-L269</f>
        <v>0.66999999999999993</v>
      </c>
      <c r="K269" s="363" t="s">
        <v>272</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2">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5" thickBot="1" x14ac:dyDescent="0.2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5" thickBot="1" x14ac:dyDescent="0.25">
      <c r="S273" s="12"/>
      <c r="T273" s="12"/>
      <c r="U273" s="12"/>
      <c r="V273" s="12"/>
      <c r="W273" s="12"/>
      <c r="X273" s="12"/>
      <c r="Y273" s="12"/>
    </row>
    <row r="274" spans="1:25" ht="13.5" thickBot="1" x14ac:dyDescent="0.25">
      <c r="A274" s="361" t="s">
        <v>36</v>
      </c>
      <c r="B274" s="359">
        <f>ROW(A274)</f>
        <v>274</v>
      </c>
      <c r="C274" s="363" t="s">
        <v>115</v>
      </c>
      <c r="D274" s="353">
        <f>SUM(B277:Y277)</f>
        <v>2102.35</v>
      </c>
      <c r="E274" s="363" t="s">
        <v>114</v>
      </c>
      <c r="F274" s="354">
        <f>D274/g/J274</f>
        <v>174.23319493133766</v>
      </c>
      <c r="G274" s="363" t="s">
        <v>56</v>
      </c>
      <c r="H274" s="64">
        <v>3.7</v>
      </c>
      <c r="I274" s="363" t="s">
        <v>271</v>
      </c>
      <c r="J274" s="355">
        <f>H274-L274</f>
        <v>1.23</v>
      </c>
      <c r="K274" s="363" t="s">
        <v>272</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2">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5" thickBot="1" x14ac:dyDescent="0.2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5" thickBot="1" x14ac:dyDescent="0.25"/>
    <row r="279" spans="1:25" ht="13.5" thickBot="1" x14ac:dyDescent="0.25">
      <c r="A279" s="361" t="s">
        <v>549</v>
      </c>
      <c r="B279" s="359">
        <f>ROW(A279)</f>
        <v>279</v>
      </c>
      <c r="C279" s="363" t="s">
        <v>115</v>
      </c>
      <c r="D279" s="353">
        <f>SUM(B282:Y282)</f>
        <v>2058.37</v>
      </c>
      <c r="E279" s="363" t="s">
        <v>114</v>
      </c>
      <c r="F279" s="354">
        <f>D279/g/J279</f>
        <v>203.12066731598335</v>
      </c>
      <c r="G279" s="363" t="s">
        <v>56</v>
      </c>
      <c r="H279" s="64">
        <v>1.6850000000000001</v>
      </c>
      <c r="I279" s="363" t="s">
        <v>271</v>
      </c>
      <c r="J279" s="355">
        <f>H279-L279</f>
        <v>1.0329999999999999</v>
      </c>
      <c r="K279" s="363" t="s">
        <v>272</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2">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5" thickBot="1" x14ac:dyDescent="0.2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5" thickBot="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5" thickBot="1" x14ac:dyDescent="0.25">
      <c r="A284" s="361" t="s">
        <v>552</v>
      </c>
      <c r="B284" s="359">
        <f>ROW(A284)</f>
        <v>284</v>
      </c>
      <c r="C284" s="363" t="s">
        <v>115</v>
      </c>
      <c r="D284" s="353">
        <f>SUM(B287:Y287)</f>
        <v>1998.2428999999995</v>
      </c>
      <c r="E284" s="363" t="s">
        <v>114</v>
      </c>
      <c r="F284" s="354">
        <f>D284/g/J284</f>
        <v>207.42819268753979</v>
      </c>
      <c r="G284" s="363" t="s">
        <v>56</v>
      </c>
      <c r="H284" s="64">
        <v>1.6319999999999999</v>
      </c>
      <c r="I284" s="363" t="s">
        <v>271</v>
      </c>
      <c r="J284" s="355">
        <f>H284-L284</f>
        <v>0.98199999999999987</v>
      </c>
      <c r="K284" s="363" t="s">
        <v>272</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2">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2">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3.5" thickBot="1" x14ac:dyDescent="0.2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3.5" thickBot="1" x14ac:dyDescent="0.25">
      <c r="A288" s="12"/>
      <c r="L288" s="12"/>
      <c r="M288" s="12"/>
      <c r="N288" s="12"/>
      <c r="O288" s="12"/>
      <c r="P288" s="12"/>
      <c r="Q288" s="12"/>
      <c r="R288" s="12"/>
      <c r="S288" s="12"/>
      <c r="T288" s="12"/>
      <c r="U288" s="12"/>
      <c r="V288" s="12"/>
      <c r="W288" s="12"/>
      <c r="X288" s="12"/>
      <c r="Y288" s="12"/>
    </row>
    <row r="289" spans="1:25" ht="13.5" thickBot="1" x14ac:dyDescent="0.25">
      <c r="A289" s="361" t="s">
        <v>550</v>
      </c>
      <c r="B289" s="359">
        <f>ROW(A289)</f>
        <v>289</v>
      </c>
      <c r="C289" s="363" t="s">
        <v>115</v>
      </c>
      <c r="D289" s="353">
        <f>SUM(B292:Y292)</f>
        <v>3739.0284999999994</v>
      </c>
      <c r="E289" s="363" t="s">
        <v>114</v>
      </c>
      <c r="F289" s="354">
        <f>D289/g/J289</f>
        <v>203.4941790441234</v>
      </c>
      <c r="G289" s="363" t="s">
        <v>56</v>
      </c>
      <c r="H289" s="64">
        <v>3.5110000000000001</v>
      </c>
      <c r="I289" s="363" t="s">
        <v>271</v>
      </c>
      <c r="J289" s="355">
        <f>H289-L289</f>
        <v>1.8730000000000002</v>
      </c>
      <c r="K289" s="363" t="s">
        <v>272</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2">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5" thickBot="1" x14ac:dyDescent="0.2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5" thickBot="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5" thickBot="1" x14ac:dyDescent="0.25">
      <c r="A294" s="361" t="s">
        <v>556</v>
      </c>
      <c r="B294" s="359">
        <f>ROW(A294)</f>
        <v>294</v>
      </c>
      <c r="C294" s="363" t="s">
        <v>115</v>
      </c>
      <c r="D294" s="353">
        <f>SUM(B297:Y297)</f>
        <v>14273.976008499998</v>
      </c>
      <c r="E294" s="363" t="s">
        <v>114</v>
      </c>
      <c r="F294" s="354">
        <f>D294/g/J294</f>
        <v>169.50645688990159</v>
      </c>
      <c r="G294" s="363" t="s">
        <v>56</v>
      </c>
      <c r="H294" s="64">
        <v>13.247999999999999</v>
      </c>
      <c r="I294" s="363" t="s">
        <v>271</v>
      </c>
      <c r="J294" s="355">
        <f>H294-L294</f>
        <v>8.5839999999999996</v>
      </c>
      <c r="K294" s="363" t="s">
        <v>272</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2">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2">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3.5" thickBot="1" x14ac:dyDescent="0.2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3.5" thickBot="1" x14ac:dyDescent="0.25">
      <c r="A298" s="12"/>
      <c r="L298" s="12"/>
      <c r="M298" s="12"/>
      <c r="N298" s="12"/>
      <c r="O298" s="12"/>
      <c r="P298" s="12"/>
      <c r="Q298" s="12"/>
      <c r="R298" s="12"/>
      <c r="S298" s="12"/>
      <c r="T298" s="12"/>
      <c r="U298" s="12"/>
      <c r="V298" s="12"/>
      <c r="W298" s="12"/>
      <c r="X298" s="12"/>
      <c r="Y298" s="12"/>
    </row>
    <row r="299" spans="1:25" ht="13.5" thickBot="1" x14ac:dyDescent="0.25">
      <c r="A299" s="361" t="s">
        <v>318</v>
      </c>
      <c r="B299" s="359">
        <f>ROW(A299)</f>
        <v>299</v>
      </c>
      <c r="C299" s="363" t="s">
        <v>115</v>
      </c>
      <c r="D299" s="353">
        <f>SUM(B302:Y302)</f>
        <v>7412.4371409999985</v>
      </c>
      <c r="E299" s="363" t="s">
        <v>114</v>
      </c>
      <c r="F299" s="354">
        <f>D299/g/J299</f>
        <v>223.28608637999045</v>
      </c>
      <c r="G299" s="363" t="s">
        <v>56</v>
      </c>
      <c r="H299" s="64">
        <v>6.25</v>
      </c>
      <c r="I299" s="363" t="s">
        <v>271</v>
      </c>
      <c r="J299" s="355">
        <f>H299-L299</f>
        <v>3.3839999999999999</v>
      </c>
      <c r="K299" s="363" t="s">
        <v>272</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2">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5" thickBot="1" x14ac:dyDescent="0.2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5" thickBot="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5" thickBot="1" x14ac:dyDescent="0.25">
      <c r="A304" s="361" t="s">
        <v>551</v>
      </c>
      <c r="B304" s="359">
        <f>ROW(A304)</f>
        <v>304</v>
      </c>
      <c r="C304" s="363" t="s">
        <v>115</v>
      </c>
      <c r="D304" s="353">
        <f>SUM(B307:Y307)</f>
        <v>17734.977350500001</v>
      </c>
      <c r="E304" s="363" t="s">
        <v>114</v>
      </c>
      <c r="F304" s="354">
        <f>D304/g/J304</f>
        <v>192.73420306179892</v>
      </c>
      <c r="G304" s="363" t="s">
        <v>56</v>
      </c>
      <c r="H304" s="64">
        <v>14.747999999999999</v>
      </c>
      <c r="I304" s="363" t="s">
        <v>271</v>
      </c>
      <c r="J304" s="355">
        <f>H304-L304</f>
        <v>9.379999999999999</v>
      </c>
      <c r="K304" s="363" t="s">
        <v>272</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2">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5" thickBot="1" x14ac:dyDescent="0.2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5" thickBot="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5" thickBot="1" x14ac:dyDescent="0.25">
      <c r="A309" s="361" t="s">
        <v>44</v>
      </c>
      <c r="B309" s="359">
        <f>ROW(A309)</f>
        <v>309</v>
      </c>
      <c r="C309" s="363" t="s">
        <v>115</v>
      </c>
      <c r="D309" s="353">
        <f>SUM(B312:Y312)</f>
        <v>1E-3</v>
      </c>
      <c r="E309" s="363" t="s">
        <v>114</v>
      </c>
      <c r="F309" s="354">
        <f>D309/g/J309</f>
        <v>1.019367991845056</v>
      </c>
      <c r="G309" s="363" t="s">
        <v>56</v>
      </c>
      <c r="H309" s="64">
        <v>1E-4</v>
      </c>
      <c r="I309" s="363" t="s">
        <v>271</v>
      </c>
      <c r="J309" s="355">
        <f>H309-L309</f>
        <v>1E-4</v>
      </c>
      <c r="K309" s="363" t="s">
        <v>272</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2">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5" thickBot="1" x14ac:dyDescent="0.2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
      <c r="A316" s="397" t="str">
        <f>IF(Lang="Français","Liste des propu affichés :","Motor list (shown):")</f>
        <v>Liste des propu affichés :</v>
      </c>
      <c r="C316" s="651" t="s">
        <v>276</v>
      </c>
      <c r="D316" s="652"/>
      <c r="F316" s="651" t="s">
        <v>181</v>
      </c>
      <c r="G316" s="652"/>
      <c r="H316" s="12"/>
      <c r="I316" s="651" t="s">
        <v>397</v>
      </c>
      <c r="J316" s="652"/>
      <c r="K316" s="12"/>
      <c r="L316" s="651" t="s">
        <v>182</v>
      </c>
      <c r="M316" s="652"/>
      <c r="O316" s="651" t="s">
        <v>396</v>
      </c>
      <c r="P316" s="652"/>
      <c r="R316" s="651" t="s">
        <v>118</v>
      </c>
      <c r="S316" s="652"/>
    </row>
    <row r="317" spans="1:25" x14ac:dyDescent="0.2">
      <c r="A317" s="398" t="str">
        <f t="array" ref="A317:A346">IF(RIGHT(Type_fusee,1)=".",Liste_fusex, IF(LEFT(Type_fusee,4)="Mini",Liste_minif, IF(LEFT(Type_fusee,5)="Micro",Liste_µfu, IF(RIGHT(Type_fusee,1)=" ",Liste_H2O, IF(LEFT(Type_fusee,1)="R",Liste_RC, IF(LEFT(Type_fusee,1)=",",Liste_minifT))))))</f>
        <v>p24-1G 24E22</v>
      </c>
      <c r="C317" s="643" t="str">
        <f>A26</f>
        <v>H2O 1.5L 300g 6bar</v>
      </c>
      <c r="D317" s="644"/>
      <c r="F317" s="643" t="str">
        <f>A67</f>
        <v>µ-propu A8-3</v>
      </c>
      <c r="G317" s="644"/>
      <c r="H317" s="472"/>
      <c r="I317" s="641" t="str">
        <f>A148</f>
        <v>p29-1G 56F31</v>
      </c>
      <c r="J317" s="642"/>
      <c r="K317" s="472"/>
      <c r="L317" s="641" t="str">
        <f>A158</f>
        <v>p29-1G 57F59</v>
      </c>
      <c r="M317" s="642"/>
      <c r="O317" s="643" t="str">
        <f>A108</f>
        <v>p24-1G 24E22</v>
      </c>
      <c r="P317" s="644"/>
      <c r="R317" s="643" t="str">
        <f>A284</f>
        <v>Pro54-5G WT</v>
      </c>
      <c r="S317" s="644"/>
    </row>
    <row r="318" spans="1:25" x14ac:dyDescent="0.2">
      <c r="A318" s="398" t="str">
        <v>p24-1G 25E75 (Rufina)</v>
      </c>
      <c r="C318" s="643" t="str">
        <f>A31</f>
        <v>H2O 1.5L 450g 6bar</v>
      </c>
      <c r="D318" s="644"/>
      <c r="F318" s="643" t="str">
        <f>A72</f>
        <v>µ-propu B4-4</v>
      </c>
      <c r="G318" s="644"/>
      <c r="H318" s="472"/>
      <c r="I318" s="641" t="str">
        <f>A153</f>
        <v>p29-1G 56F120</v>
      </c>
      <c r="J318" s="642"/>
      <c r="K318" s="472"/>
      <c r="L318" s="641" t="str">
        <f>A183</f>
        <v>p24-3G 74F85</v>
      </c>
      <c r="M318" s="642"/>
      <c r="O318" s="643" t="str">
        <f>A113</f>
        <v>p24-1G 25E75 (Rufina)</v>
      </c>
      <c r="P318" s="644"/>
      <c r="R318" s="643" t="str">
        <f>A279</f>
        <v>Barasinga (Pro54-5G C)</v>
      </c>
      <c r="S318" s="644"/>
    </row>
    <row r="319" spans="1:25" x14ac:dyDescent="0.2">
      <c r="A319" s="398" t="str">
        <v>p24-1G 26E31</v>
      </c>
      <c r="C319" s="643" t="str">
        <f>A36</f>
        <v>H2O 1.5L 600g 6bar</v>
      </c>
      <c r="D319" s="644"/>
      <c r="F319" s="643" t="str">
        <f>A77</f>
        <v>µ-propu C6-3</v>
      </c>
      <c r="G319" s="644"/>
      <c r="H319" s="472"/>
      <c r="I319" s="641" t="str">
        <f>A158</f>
        <v>p29-1G 57F59</v>
      </c>
      <c r="J319" s="642"/>
      <c r="K319" s="472"/>
      <c r="L319" s="641" t="str">
        <f>A188</f>
        <v>p24-3G 75F51</v>
      </c>
      <c r="M319" s="642"/>
      <c r="O319" s="643" t="str">
        <f>A118</f>
        <v>p24-1G 26E31</v>
      </c>
      <c r="P319" s="644"/>
      <c r="R319" s="643" t="str">
        <f>A289</f>
        <v>Orignal (Pro75-3G C)</v>
      </c>
      <c r="S319" s="644"/>
    </row>
    <row r="320" spans="1:25" x14ac:dyDescent="0.2">
      <c r="A320" s="398" t="str">
        <v>p24-2G 50E51</v>
      </c>
      <c r="C320" s="643" t="str">
        <f>A41</f>
        <v>H2O 1.5L 750g 6bar</v>
      </c>
      <c r="D320" s="644"/>
      <c r="F320" s="643" t="str">
        <f>A82</f>
        <v>µ-propu C6-3 x2</v>
      </c>
      <c r="G320" s="644"/>
      <c r="H320" s="472"/>
      <c r="I320" s="641" t="str">
        <f>A183</f>
        <v>p24-3G 74F85</v>
      </c>
      <c r="J320" s="642"/>
      <c r="K320" s="472"/>
      <c r="L320" s="641" t="str">
        <f>A228</f>
        <v>p29-2G 116G126</v>
      </c>
      <c r="M320" s="642"/>
      <c r="O320" s="643" t="str">
        <f>A123</f>
        <v>p24-2G 50E51</v>
      </c>
      <c r="P320" s="644"/>
      <c r="R320" s="643" t="str">
        <f>A294</f>
        <v>Pro98-6G Green</v>
      </c>
      <c r="S320" s="644"/>
    </row>
    <row r="321" spans="1:19" x14ac:dyDescent="0.2">
      <c r="A321" s="398" t="str">
        <v>p24-1G 53E70</v>
      </c>
      <c r="C321" s="643" t="str">
        <f>A46</f>
        <v>H2O 2.0L 400g 6bar</v>
      </c>
      <c r="D321" s="644"/>
      <c r="F321" s="643" t="str">
        <f>A87</f>
        <v>µ-propu C6-3 x3</v>
      </c>
      <c r="G321" s="644"/>
      <c r="H321" s="472"/>
      <c r="I321" s="641" t="str">
        <f>A188</f>
        <v>p24-3G 75F51</v>
      </c>
      <c r="J321" s="642"/>
      <c r="K321" s="472"/>
      <c r="L321" s="641" t="str">
        <f>A198</f>
        <v>Pandora (Pro24-6G BS)</v>
      </c>
      <c r="M321" s="642"/>
      <c r="O321" s="643" t="str">
        <f>A128</f>
        <v>p24-1G 53E70</v>
      </c>
      <c r="P321" s="644"/>
      <c r="R321" s="643" t="s">
        <v>183</v>
      </c>
      <c r="S321" s="644"/>
    </row>
    <row r="322" spans="1:19" x14ac:dyDescent="0.2">
      <c r="A322" s="398" t="str">
        <v>p29-1G 41F36</v>
      </c>
      <c r="C322" s="643" t="str">
        <f>A51</f>
        <v>H2O 2.0L 600g 6bar</v>
      </c>
      <c r="D322" s="644"/>
      <c r="F322" s="643" t="s">
        <v>183</v>
      </c>
      <c r="G322" s="644"/>
      <c r="H322" s="472"/>
      <c r="I322" s="641" t="s">
        <v>183</v>
      </c>
      <c r="J322" s="642"/>
      <c r="K322" s="472"/>
      <c r="L322" s="643" t="str">
        <f>A92</f>
        <v>Klima D9-7</v>
      </c>
      <c r="M322" s="644"/>
      <c r="O322" s="643" t="str">
        <f>A133</f>
        <v>p29-1G 41F36</v>
      </c>
      <c r="P322" s="644"/>
      <c r="R322" s="643" t="s">
        <v>183</v>
      </c>
      <c r="S322" s="644"/>
    </row>
    <row r="323" spans="1:19" x14ac:dyDescent="0.2">
      <c r="A323" s="398" t="str">
        <v>p29-1G 51F36</v>
      </c>
      <c r="C323" s="643" t="str">
        <f>A56</f>
        <v>H2O 2.0L 800g 6bar</v>
      </c>
      <c r="D323" s="644"/>
      <c r="F323" s="643" t="s">
        <v>183</v>
      </c>
      <c r="G323" s="644"/>
      <c r="H323" s="472"/>
      <c r="I323" s="641" t="s">
        <v>183</v>
      </c>
      <c r="J323" s="642"/>
      <c r="K323" s="472"/>
      <c r="L323" s="643" t="str">
        <f>A97</f>
        <v>Klima D9-7 x2</v>
      </c>
      <c r="M323" s="644"/>
      <c r="O323" s="643" t="str">
        <f>A138</f>
        <v>p29-1G 51F36</v>
      </c>
      <c r="P323" s="644"/>
      <c r="R323" s="643" t="s">
        <v>183</v>
      </c>
      <c r="S323" s="644"/>
    </row>
    <row r="324" spans="1:19" x14ac:dyDescent="0.2">
      <c r="A324" s="398" t="str">
        <v>p29-1G 55F29</v>
      </c>
      <c r="C324" s="643" t="str">
        <f>A61</f>
        <v>H2O 2.0L 1000g 6bar</v>
      </c>
      <c r="D324" s="644"/>
      <c r="F324" s="643" t="s">
        <v>183</v>
      </c>
      <c r="G324" s="644"/>
      <c r="H324" s="472"/>
      <c r="I324" s="641" t="s">
        <v>183</v>
      </c>
      <c r="J324" s="642"/>
      <c r="K324" s="472"/>
      <c r="L324" s="643" t="str">
        <f>A102</f>
        <v>Klima D9-7 x3</v>
      </c>
      <c r="M324" s="644"/>
      <c r="O324" s="643" t="str">
        <f>A143</f>
        <v>p29-1G 55F29</v>
      </c>
      <c r="P324" s="644"/>
      <c r="R324" s="643" t="s">
        <v>183</v>
      </c>
      <c r="S324" s="644"/>
    </row>
    <row r="325" spans="1:19" x14ac:dyDescent="0.2">
      <c r="A325" s="398" t="str">
        <v>p29-1G 56F120</v>
      </c>
      <c r="C325" s="643" t="s">
        <v>183</v>
      </c>
      <c r="D325" s="644"/>
      <c r="F325" s="643" t="s">
        <v>183</v>
      </c>
      <c r="G325" s="644"/>
      <c r="H325" s="472"/>
      <c r="I325" s="641" t="s">
        <v>183</v>
      </c>
      <c r="J325" s="642"/>
      <c r="K325" s="472"/>
      <c r="L325" s="643" t="s">
        <v>183</v>
      </c>
      <c r="M325" s="644"/>
      <c r="O325" s="643" t="str">
        <f>A153</f>
        <v>p29-1G 56F120</v>
      </c>
      <c r="P325" s="644"/>
      <c r="R325" s="643" t="s">
        <v>183</v>
      </c>
      <c r="S325" s="644"/>
    </row>
    <row r="326" spans="1:19" x14ac:dyDescent="0.2">
      <c r="A326" s="398" t="str">
        <v>p29-1G 57F59</v>
      </c>
      <c r="C326" s="643" t="s">
        <v>183</v>
      </c>
      <c r="D326" s="644"/>
      <c r="F326" s="643" t="s">
        <v>183</v>
      </c>
      <c r="G326" s="644"/>
      <c r="H326" s="472"/>
      <c r="I326" s="641" t="s">
        <v>183</v>
      </c>
      <c r="J326" s="642"/>
      <c r="K326" s="472"/>
      <c r="L326" s="643" t="s">
        <v>183</v>
      </c>
      <c r="M326" s="644"/>
      <c r="O326" s="643" t="str">
        <f>A158</f>
        <v>p29-1G 57F59</v>
      </c>
      <c r="P326" s="644"/>
      <c r="R326" s="643" t="s">
        <v>183</v>
      </c>
      <c r="S326" s="644"/>
    </row>
    <row r="327" spans="1:19" x14ac:dyDescent="0.2">
      <c r="A327" s="398" t="str">
        <v>p24-3G 60F50</v>
      </c>
      <c r="C327" s="643" t="s">
        <v>183</v>
      </c>
      <c r="D327" s="644"/>
      <c r="F327" s="643" t="s">
        <v>183</v>
      </c>
      <c r="G327" s="644"/>
      <c r="H327" s="472"/>
      <c r="I327" s="641" t="s">
        <v>183</v>
      </c>
      <c r="J327" s="642"/>
      <c r="K327" s="472"/>
      <c r="L327" s="643" t="s">
        <v>183</v>
      </c>
      <c r="M327" s="644"/>
      <c r="O327" s="643" t="str">
        <f>A163</f>
        <v>p24-3G 60F50</v>
      </c>
      <c r="P327" s="644"/>
      <c r="R327" s="643" t="s">
        <v>183</v>
      </c>
      <c r="S327" s="644"/>
    </row>
    <row r="328" spans="1:19" x14ac:dyDescent="0.2">
      <c r="A328" s="398" t="str">
        <v>p24-3G 68F79</v>
      </c>
      <c r="C328" s="643" t="s">
        <v>183</v>
      </c>
      <c r="D328" s="644"/>
      <c r="F328" s="643" t="s">
        <v>183</v>
      </c>
      <c r="G328" s="644"/>
      <c r="H328" s="472"/>
      <c r="I328" s="641" t="s">
        <v>183</v>
      </c>
      <c r="J328" s="642"/>
      <c r="K328" s="472"/>
      <c r="L328" s="643" t="s">
        <v>183</v>
      </c>
      <c r="M328" s="644"/>
      <c r="O328" s="643" t="str">
        <f>A168</f>
        <v>p24-3G 68F79</v>
      </c>
      <c r="P328" s="644"/>
      <c r="R328" s="643" t="s">
        <v>183</v>
      </c>
      <c r="S328" s="644"/>
    </row>
    <row r="329" spans="1:19" x14ac:dyDescent="0.2">
      <c r="A329" s="398" t="str">
        <v>p24-3G 68F240</v>
      </c>
      <c r="C329" s="643" t="s">
        <v>183</v>
      </c>
      <c r="D329" s="644"/>
      <c r="F329" s="643" t="s">
        <v>183</v>
      </c>
      <c r="G329" s="644"/>
      <c r="H329" s="472"/>
      <c r="I329" s="641" t="s">
        <v>183</v>
      </c>
      <c r="J329" s="642"/>
      <c r="K329" s="472"/>
      <c r="L329" s="643" t="s">
        <v>183</v>
      </c>
      <c r="M329" s="644"/>
      <c r="O329" s="643" t="str">
        <f>A173</f>
        <v>p24-3G 68F240</v>
      </c>
      <c r="P329" s="644"/>
      <c r="R329" s="643" t="s">
        <v>183</v>
      </c>
      <c r="S329" s="644"/>
    </row>
    <row r="330" spans="1:19" x14ac:dyDescent="0.2">
      <c r="A330" s="398" t="str">
        <v>p24-3G 73F30</v>
      </c>
      <c r="C330" s="643" t="s">
        <v>183</v>
      </c>
      <c r="D330" s="644"/>
      <c r="F330" s="643" t="s">
        <v>183</v>
      </c>
      <c r="G330" s="644"/>
      <c r="H330" s="472"/>
      <c r="I330" s="641" t="s">
        <v>183</v>
      </c>
      <c r="J330" s="642"/>
      <c r="K330" s="472"/>
      <c r="L330" s="643" t="s">
        <v>183</v>
      </c>
      <c r="M330" s="644"/>
      <c r="O330" s="643" t="str">
        <f>A178</f>
        <v>p24-3G 73F30</v>
      </c>
      <c r="P330" s="644"/>
      <c r="R330" s="643" t="s">
        <v>183</v>
      </c>
      <c r="S330" s="644"/>
    </row>
    <row r="331" spans="1:19" x14ac:dyDescent="0.2">
      <c r="A331" s="398" t="str">
        <v>p24-3G 74F85</v>
      </c>
      <c r="C331" s="643" t="s">
        <v>183</v>
      </c>
      <c r="D331" s="644"/>
      <c r="F331" s="643" t="s">
        <v>183</v>
      </c>
      <c r="G331" s="644"/>
      <c r="H331" s="472"/>
      <c r="I331" s="649" t="s">
        <v>183</v>
      </c>
      <c r="J331" s="650"/>
      <c r="K331" s="472"/>
      <c r="L331" s="643" t="s">
        <v>183</v>
      </c>
      <c r="M331" s="644"/>
      <c r="O331" s="643" t="str">
        <f>A183</f>
        <v>p24-3G 74F85</v>
      </c>
      <c r="P331" s="644"/>
      <c r="R331" s="643" t="s">
        <v>183</v>
      </c>
      <c r="S331" s="644"/>
    </row>
    <row r="332" spans="1:19" x14ac:dyDescent="0.2">
      <c r="A332" s="462" t="str">
        <v>p24-3G 75F51</v>
      </c>
      <c r="C332" s="646" t="s">
        <v>183</v>
      </c>
      <c r="D332" s="647"/>
      <c r="F332" s="646" t="s">
        <v>183</v>
      </c>
      <c r="G332" s="647"/>
      <c r="H332" s="472"/>
      <c r="I332" s="646" t="s">
        <v>183</v>
      </c>
      <c r="J332" s="647"/>
      <c r="K332" s="472"/>
      <c r="L332" s="646" t="s">
        <v>183</v>
      </c>
      <c r="M332" s="647"/>
      <c r="O332" s="643" t="str">
        <f>A188</f>
        <v>p24-3G 75F51</v>
      </c>
      <c r="P332" s="644"/>
      <c r="R332" s="646" t="s">
        <v>183</v>
      </c>
      <c r="S332" s="647"/>
    </row>
    <row r="333" spans="1:19" x14ac:dyDescent="0.2">
      <c r="A333" s="398" t="str">
        <v>p29-2G 84G88</v>
      </c>
      <c r="C333" s="653" t="s">
        <v>183</v>
      </c>
      <c r="D333" s="653"/>
      <c r="F333" s="653" t="s">
        <v>183</v>
      </c>
      <c r="G333" s="653"/>
      <c r="I333" s="640" t="s">
        <v>183</v>
      </c>
      <c r="J333" s="640"/>
      <c r="L333" s="640" t="s">
        <v>183</v>
      </c>
      <c r="M333" s="640"/>
      <c r="O333" s="643" t="str">
        <f>A213</f>
        <v>p29-2G 84G88</v>
      </c>
      <c r="P333" s="644"/>
      <c r="R333" s="648" t="s">
        <v>183</v>
      </c>
      <c r="S333" s="648"/>
    </row>
    <row r="334" spans="1:19" x14ac:dyDescent="0.2">
      <c r="A334" s="398" t="str">
        <v>p29-2G 93G80</v>
      </c>
      <c r="C334" s="637" t="s">
        <v>183</v>
      </c>
      <c r="D334" s="637"/>
      <c r="F334" s="637" t="s">
        <v>183</v>
      </c>
      <c r="G334" s="637"/>
      <c r="I334" s="640" t="s">
        <v>183</v>
      </c>
      <c r="J334" s="640"/>
      <c r="L334" s="640" t="s">
        <v>183</v>
      </c>
      <c r="M334" s="640"/>
      <c r="O334" s="643" t="str">
        <f>A218</f>
        <v>p29-2G 93G80</v>
      </c>
      <c r="P334" s="644"/>
      <c r="R334" s="645" t="str">
        <f>A269</f>
        <v>Isard</v>
      </c>
      <c r="S334" s="645"/>
    </row>
    <row r="335" spans="1:19" x14ac:dyDescent="0.2">
      <c r="A335" s="398" t="str">
        <v>p29-2G 110G250</v>
      </c>
      <c r="C335" s="637" t="s">
        <v>183</v>
      </c>
      <c r="D335" s="637"/>
      <c r="F335" s="637" t="s">
        <v>183</v>
      </c>
      <c r="G335" s="637"/>
      <c r="I335" s="640" t="s">
        <v>183</v>
      </c>
      <c r="J335" s="640"/>
      <c r="L335" s="640" t="s">
        <v>183</v>
      </c>
      <c r="M335" s="640"/>
      <c r="O335" s="643" t="str">
        <f>A223</f>
        <v>p29-2G 110G250</v>
      </c>
      <c r="P335" s="644"/>
      <c r="R335" s="645" t="str">
        <f>A274</f>
        <v>Chamois</v>
      </c>
      <c r="S335" s="645"/>
    </row>
    <row r="336" spans="1:19" x14ac:dyDescent="0.2">
      <c r="A336" s="398" t="str">
        <v>p29-2G 116G126</v>
      </c>
      <c r="C336" s="637" t="s">
        <v>183</v>
      </c>
      <c r="D336" s="637"/>
      <c r="F336" s="637" t="s">
        <v>183</v>
      </c>
      <c r="G336" s="637"/>
      <c r="I336" s="640" t="s">
        <v>183</v>
      </c>
      <c r="J336" s="640"/>
      <c r="L336" s="640" t="s">
        <v>183</v>
      </c>
      <c r="M336" s="640"/>
      <c r="O336" s="643" t="str">
        <f>A228</f>
        <v>p29-2G 116G126</v>
      </c>
      <c r="P336" s="644"/>
      <c r="R336" s="645" t="str">
        <f>A284</f>
        <v>Pro54-5G WT</v>
      </c>
      <c r="S336" s="645"/>
    </row>
    <row r="337" spans="1:19" x14ac:dyDescent="0.2">
      <c r="A337" s="398" t="str">
        <v>p29-3G 125G131</v>
      </c>
      <c r="C337" s="637" t="s">
        <v>183</v>
      </c>
      <c r="D337" s="637"/>
      <c r="F337" s="637" t="s">
        <v>183</v>
      </c>
      <c r="G337" s="637"/>
      <c r="I337" s="640" t="s">
        <v>183</v>
      </c>
      <c r="J337" s="640"/>
      <c r="L337" s="640" t="s">
        <v>183</v>
      </c>
      <c r="M337" s="640"/>
      <c r="O337" s="643" t="str">
        <f>A233</f>
        <v>p29-3G 125G131</v>
      </c>
      <c r="P337" s="644"/>
      <c r="R337" s="645" t="str">
        <f>A294</f>
        <v>Pro98-6G Green</v>
      </c>
      <c r="S337" s="645"/>
    </row>
    <row r="338" spans="1:19" x14ac:dyDescent="0.2">
      <c r="A338" s="398" t="str">
        <v>p38-1G 128G185</v>
      </c>
      <c r="C338" s="637" t="s">
        <v>183</v>
      </c>
      <c r="D338" s="637"/>
      <c r="F338" s="637" t="s">
        <v>183</v>
      </c>
      <c r="G338" s="637"/>
      <c r="I338" s="640" t="s">
        <v>183</v>
      </c>
      <c r="J338" s="640"/>
      <c r="L338" s="640" t="s">
        <v>183</v>
      </c>
      <c r="M338" s="640"/>
      <c r="O338" s="643" t="str">
        <f>A248</f>
        <v>p38-1G 128G185</v>
      </c>
      <c r="P338" s="644"/>
      <c r="R338" s="645" t="str">
        <f>A299</f>
        <v>Pro98-3G WT</v>
      </c>
      <c r="S338" s="645"/>
    </row>
    <row r="339" spans="1:19" x14ac:dyDescent="0.2">
      <c r="A339" s="398" t="str">
        <v>p38-1G 137G58</v>
      </c>
      <c r="C339" s="637" t="s">
        <v>183</v>
      </c>
      <c r="D339" s="637"/>
      <c r="F339" s="637" t="s">
        <v>183</v>
      </c>
      <c r="G339" s="637"/>
      <c r="I339" s="640" t="s">
        <v>183</v>
      </c>
      <c r="J339" s="640"/>
      <c r="L339" s="640" t="s">
        <v>183</v>
      </c>
      <c r="M339" s="640"/>
      <c r="O339" s="643" t="str">
        <f>A243</f>
        <v>p38-1G 137G58</v>
      </c>
      <c r="P339" s="644"/>
      <c r="R339" s="645" t="str">
        <f>A309</f>
        <v>Aucun (2e ét. inerte)</v>
      </c>
      <c r="S339" s="645"/>
    </row>
    <row r="340" spans="1:19" x14ac:dyDescent="0.2">
      <c r="A340" s="398" t="str">
        <v>p38-1G 141G78</v>
      </c>
      <c r="C340" s="637" t="s">
        <v>183</v>
      </c>
      <c r="D340" s="637"/>
      <c r="F340" s="637" t="s">
        <v>183</v>
      </c>
      <c r="G340" s="637"/>
      <c r="I340" s="640" t="s">
        <v>183</v>
      </c>
      <c r="J340" s="640"/>
      <c r="L340" s="640" t="s">
        <v>183</v>
      </c>
      <c r="M340" s="640"/>
      <c r="O340" s="643" t="str">
        <f>A253</f>
        <v>p38-1G 141G78</v>
      </c>
      <c r="P340" s="644"/>
      <c r="R340" s="640" t="s">
        <v>183</v>
      </c>
      <c r="S340" s="640"/>
    </row>
    <row r="341" spans="1:19" x14ac:dyDescent="0.2">
      <c r="A341" s="398" t="str">
        <v>p24-6G 140G145 PK</v>
      </c>
      <c r="C341" s="637" t="s">
        <v>183</v>
      </c>
      <c r="D341" s="637"/>
      <c r="F341" s="637" t="s">
        <v>183</v>
      </c>
      <c r="G341" s="637"/>
      <c r="I341" s="637" t="s">
        <v>183</v>
      </c>
      <c r="J341" s="637"/>
      <c r="L341" s="640" t="s">
        <v>183</v>
      </c>
      <c r="M341" s="640"/>
      <c r="O341" s="643" t="str">
        <f>A193</f>
        <v>p24-6G 140G145 PK</v>
      </c>
      <c r="P341" s="644"/>
      <c r="R341" s="637" t="s">
        <v>183</v>
      </c>
      <c r="S341" s="637"/>
    </row>
    <row r="342" spans="1:19" x14ac:dyDescent="0.2">
      <c r="A342" s="398" t="str">
        <v>Pandora (Pro24-6G BS)</v>
      </c>
      <c r="C342" s="637" t="s">
        <v>183</v>
      </c>
      <c r="D342" s="637"/>
      <c r="F342" s="637" t="s">
        <v>183</v>
      </c>
      <c r="G342" s="637"/>
      <c r="I342" s="637" t="s">
        <v>183</v>
      </c>
      <c r="J342" s="637"/>
      <c r="L342" s="640" t="s">
        <v>183</v>
      </c>
      <c r="M342" s="640"/>
      <c r="O342" s="643" t="str">
        <f>A198</f>
        <v>Pandora (Pro24-6G BS)</v>
      </c>
      <c r="P342" s="644"/>
      <c r="R342" s="637" t="s">
        <v>183</v>
      </c>
      <c r="S342" s="637"/>
    </row>
    <row r="343" spans="1:19" x14ac:dyDescent="0.2">
      <c r="A343" s="398" t="str">
        <v>p24-6G 142G117 WT</v>
      </c>
      <c r="C343" s="637" t="s">
        <v>183</v>
      </c>
      <c r="D343" s="637"/>
      <c r="F343" s="637" t="s">
        <v>183</v>
      </c>
      <c r="G343" s="637"/>
      <c r="I343" s="637" t="s">
        <v>183</v>
      </c>
      <c r="J343" s="637"/>
      <c r="L343" s="637" t="s">
        <v>183</v>
      </c>
      <c r="M343" s="637"/>
      <c r="O343" s="641" t="str">
        <f>A203</f>
        <v>p24-6G 142G117 WT</v>
      </c>
      <c r="P343" s="642"/>
      <c r="R343" s="637" t="s">
        <v>183</v>
      </c>
      <c r="S343" s="637"/>
    </row>
    <row r="344" spans="1:19" x14ac:dyDescent="0.2">
      <c r="A344" s="398" t="str">
        <v>p24-6G 139G107 DT</v>
      </c>
      <c r="C344" s="637" t="s">
        <v>183</v>
      </c>
      <c r="D344" s="637"/>
      <c r="F344" s="637" t="s">
        <v>183</v>
      </c>
      <c r="G344" s="637"/>
      <c r="I344" s="637" t="s">
        <v>183</v>
      </c>
      <c r="J344" s="637"/>
      <c r="L344" s="637" t="s">
        <v>183</v>
      </c>
      <c r="M344" s="637"/>
      <c r="O344" s="641" t="str">
        <f>A208</f>
        <v>p24-6G 139G107 DT</v>
      </c>
      <c r="P344" s="642"/>
      <c r="R344" s="637" t="s">
        <v>183</v>
      </c>
      <c r="S344" s="637"/>
    </row>
    <row r="345" spans="1:19" x14ac:dyDescent="0.2">
      <c r="A345" s="398" t="str">
        <v>Cariacou</v>
      </c>
      <c r="C345" s="637" t="s">
        <v>183</v>
      </c>
      <c r="D345" s="637"/>
      <c r="F345" s="637" t="s">
        <v>183</v>
      </c>
      <c r="G345" s="637"/>
      <c r="I345" s="637" t="s">
        <v>183</v>
      </c>
      <c r="J345" s="637"/>
      <c r="L345" s="637" t="s">
        <v>183</v>
      </c>
      <c r="M345" s="637"/>
      <c r="O345" s="641" t="str">
        <f>A263</f>
        <v>Cariacou</v>
      </c>
      <c r="P345" s="642"/>
      <c r="R345" s="637" t="s">
        <v>183</v>
      </c>
      <c r="S345" s="637"/>
    </row>
    <row r="346" spans="1:19" x14ac:dyDescent="0.2">
      <c r="A346" s="473" t="str">
        <v>Wapiti</v>
      </c>
      <c r="C346" s="637" t="s">
        <v>183</v>
      </c>
      <c r="D346" s="637"/>
      <c r="F346" s="637" t="s">
        <v>183</v>
      </c>
      <c r="G346" s="637"/>
      <c r="I346" s="637" t="s">
        <v>183</v>
      </c>
      <c r="J346" s="637"/>
      <c r="L346" s="637" t="s">
        <v>183</v>
      </c>
      <c r="M346" s="637"/>
      <c r="O346" s="638" t="str">
        <f>A258</f>
        <v>Wapiti</v>
      </c>
      <c r="P346" s="639"/>
      <c r="R346" s="637" t="s">
        <v>183</v>
      </c>
      <c r="S346" s="637"/>
    </row>
  </sheetData>
  <dataConsolidate/>
  <mergeCells count="186">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 ref="C345:D345"/>
    <mergeCell ref="C346:D346"/>
    <mergeCell ref="C335:D335"/>
    <mergeCell ref="C336:D336"/>
    <mergeCell ref="C337:D337"/>
    <mergeCell ref="C338:D338"/>
    <mergeCell ref="C339:D339"/>
    <mergeCell ref="C340:D340"/>
    <mergeCell ref="C334:D334"/>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K2" sqref="K1:K1048576"/>
    </sheetView>
  </sheetViews>
  <sheetFormatPr baseColWidth="10" defaultColWidth="11.5703125" defaultRowHeight="12.75" x14ac:dyDescent="0.2"/>
  <cols>
    <col min="1" max="1" width="4.5703125" style="7" bestFit="1" customWidth="1"/>
    <col min="2" max="2" width="6" style="7" bestFit="1" customWidth="1"/>
    <col min="3" max="3" width="1.42578125" style="8" customWidth="1"/>
    <col min="4" max="4" width="7.140625" style="7" customWidth="1"/>
    <col min="5" max="6" width="7.42578125" style="7" customWidth="1"/>
    <col min="7" max="7" width="7.140625" style="7" customWidth="1"/>
    <col min="8" max="8" width="7.42578125" style="7" customWidth="1"/>
    <col min="9" max="9" width="7.140625" style="7" customWidth="1"/>
    <col min="10" max="12" width="7.5703125" style="7" bestFit="1" customWidth="1"/>
    <col min="13" max="13" width="5.85546875" style="7" customWidth="1"/>
    <col min="14" max="14" width="6.42578125" style="7" customWidth="1"/>
    <col min="15" max="15" width="1.42578125" style="8" customWidth="1"/>
    <col min="16" max="16" width="4" style="7" customWidth="1"/>
    <col min="17" max="17" width="8.5703125" style="7" customWidth="1"/>
    <col min="18" max="18" width="5.85546875" style="7" customWidth="1"/>
    <col min="19" max="19" width="5.140625" style="7" customWidth="1"/>
    <col min="20" max="20" width="6" style="7" customWidth="1"/>
    <col min="21" max="21" width="8.85546875" style="7" customWidth="1"/>
    <col min="22" max="22" width="6.85546875" style="7" customWidth="1"/>
    <col min="23" max="23" width="7.140625" style="7" customWidth="1"/>
    <col min="24" max="24" width="1.42578125" style="8" customWidth="1"/>
    <col min="25" max="25" width="15.85546875" style="7" customWidth="1"/>
    <col min="26" max="26" width="5.85546875" style="7" customWidth="1"/>
    <col min="27" max="27" width="7.85546875" style="7" customWidth="1"/>
    <col min="28" max="28" width="1.5703125" style="7" customWidth="1"/>
    <col min="29" max="29" width="7.140625" style="7" bestFit="1" customWidth="1"/>
    <col min="30" max="31" width="6.85546875" style="7" bestFit="1" customWidth="1"/>
    <col min="32" max="32" width="1.85546875" style="7" customWidth="1"/>
    <col min="33" max="238" width="11.42578125" style="7" customWidth="1"/>
    <col min="239" max="239" width="11" style="7" customWidth="1"/>
  </cols>
  <sheetData>
    <row r="1" spans="1:248" ht="13.5" thickBot="1" x14ac:dyDescent="0.2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2">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2">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2">
      <c r="A4" s="292" t="s">
        <v>14</v>
      </c>
      <c r="B4" s="349">
        <f>T_ini</f>
        <v>3.2</v>
      </c>
      <c r="D4" s="292" t="s">
        <v>14</v>
      </c>
      <c r="E4" s="293" t="s">
        <v>14</v>
      </c>
      <c r="F4" s="294" t="s">
        <v>14</v>
      </c>
      <c r="G4" s="292">
        <f>vit_xz*COS(Beta)</f>
        <v>37.417891998770763</v>
      </c>
      <c r="H4" s="293">
        <f>vit_xz*SIN(Beta)</f>
        <v>172.70387046431256</v>
      </c>
      <c r="I4" s="349">
        <f>V_ini</f>
        <v>176.71085285003218</v>
      </c>
      <c r="J4" s="350">
        <f>X_ini</f>
        <v>100.55190764607381</v>
      </c>
      <c r="K4" s="351">
        <f>Z_ini</f>
        <v>497.16938386972515</v>
      </c>
      <c r="L4" s="327">
        <f t="shared" ref="L4:L67" si="0">SQRT(pos_x^2+pos_z^2)</f>
        <v>507.23572664853435</v>
      </c>
      <c r="M4" s="292">
        <f>RADIANS(N4)</f>
        <v>1.3574347634966677</v>
      </c>
      <c r="N4" s="349">
        <f>Beta_rampe</f>
        <v>77.775282912698117</v>
      </c>
      <c r="P4" s="292" t="s">
        <v>14</v>
      </c>
      <c r="Q4" s="294" t="s">
        <v>14</v>
      </c>
      <c r="R4" s="292" t="s">
        <v>14</v>
      </c>
      <c r="S4" s="351">
        <f ca="1">m_tot</f>
        <v>3.0548999999999999</v>
      </c>
      <c r="T4" s="327">
        <f t="shared" ref="T4:T67" ca="1" si="1">m*g</f>
        <v>29.968569000000002</v>
      </c>
      <c r="U4" s="328">
        <f t="shared" ref="U4:U67" si="2">IF(pos_xz&lt;L_rampe,Poids*COS(Beta),0)</f>
        <v>0</v>
      </c>
      <c r="V4" s="329">
        <f t="shared" ref="V4:V67" si="3">Rho_moyen*(20000-Alt_rampe-pos_z)/(20000+Alt_rampe+pos_z)</f>
        <v>1.1655739901120501</v>
      </c>
      <c r="W4" s="327">
        <f t="shared" ref="W4:W67" si="4">1/2*Rho*Sref*Cx*vit_xz^2</f>
        <v>74.531380034578646</v>
      </c>
      <c r="Y4" s="295" t="s">
        <v>14</v>
      </c>
      <c r="Z4" s="296" t="s">
        <v>14</v>
      </c>
      <c r="AA4" s="297" t="s">
        <v>14</v>
      </c>
      <c r="AC4" s="320">
        <f>IF(ABS(t-ROUND(t,0))&lt;0.001,t,-1)</f>
        <v>-1</v>
      </c>
      <c r="AD4" s="321">
        <f>IF(ABS(t-ROUND(t,0))&lt;0.001,pos_x,-1)</f>
        <v>-1</v>
      </c>
      <c r="AE4" s="322">
        <f t="shared" ref="AE4:AE67" si="5">IF(t&lt;T_para, pos_z, NA())</f>
        <v>497.16938386972515</v>
      </c>
      <c r="AG4" s="292" t="s">
        <v>14</v>
      </c>
      <c r="AH4" s="294" t="s">
        <v>14</v>
      </c>
    </row>
    <row r="5" spans="1:248" x14ac:dyDescent="0.2">
      <c r="A5" s="347">
        <f t="shared" ref="A5:A68" ca="1" si="6">IF(B4+0.01&lt;=T_ini+ROUNDUP(Temps_fin_propu,0), 0.01, IF(K4&gt;0, 0.1, 0.0001))</f>
        <v>0.01</v>
      </c>
      <c r="B5" s="304">
        <f t="shared" ref="B5:B68" ca="1" si="7">B4+pas</f>
        <v>3.21</v>
      </c>
      <c r="D5" s="306">
        <f t="shared" ref="D5:D68" ca="1" si="8">IF(AND(L4&lt;L_rampe,Poussee&lt;Poids*SIN(M4)),0,(-W4+Poussee)/m*COS(M4)-U4/m*SIN(M4))</f>
        <v>-0.83403005585415835</v>
      </c>
      <c r="E5" s="307">
        <f t="shared" ref="E5:E68" ca="1" si="9">IF(AND(L4&lt;L_rampe,Poussee&lt;Poids*SIN(M4)),0,(-W4+Poussee)/m*SIN(M4)+U4/m*COS(M4)-Poids/m)</f>
        <v>-13.659501162019279</v>
      </c>
      <c r="F5" s="304">
        <f t="shared" ref="F5:F68" ca="1" si="10">SQRT(acc_x^2+acc_z^2)</f>
        <v>13.684939829216427</v>
      </c>
      <c r="G5" s="306">
        <f t="shared" ref="G5:G68" ca="1" si="11">G4+acc_x*pas</f>
        <v>37.409551698212219</v>
      </c>
      <c r="H5" s="307">
        <f t="shared" ref="H5:H68" ca="1" si="12">H4+acc_z*pas</f>
        <v>172.56727545269237</v>
      </c>
      <c r="I5" s="304">
        <f t="shared" ref="I5:I68" ca="1" si="13">SQRT(vit_x^2+vit_z^2)</f>
        <v>176.57559037258412</v>
      </c>
      <c r="J5" s="306">
        <f t="shared" ref="J5:J68" ca="1" si="14">J4+0.5*(vit_x+G4)*pas*(K4&gt;=0)</f>
        <v>100.92604486455873</v>
      </c>
      <c r="K5" s="307">
        <f t="shared" ref="K5:K68" ca="1" si="15">K4+0.5*(vit_z+H4)*pas</f>
        <v>498.89573959931016</v>
      </c>
      <c r="L5" s="304">
        <f t="shared" ca="1" si="0"/>
        <v>509.00198970371974</v>
      </c>
      <c r="M5" s="306">
        <f t="shared" ref="M5:M68" ca="1" si="16">IF(AND(L4&gt;L_rampe,G5&gt;0),ATAN2(G5,H5),$M$4)</f>
        <v>1.3573171236538282</v>
      </c>
      <c r="N5" s="304">
        <f t="shared" ref="N5:N68" ca="1" si="17">DEGREES(Beta)</f>
        <v>77.768542646200828</v>
      </c>
      <c r="P5" s="310">
        <f t="shared" ref="P5:P68" ca="1" si="18">MATCH(t-pas/2-T_ini,CdP_t)</f>
        <v>1</v>
      </c>
      <c r="Q5" s="304">
        <f t="shared" ref="Q5:Q68" ca="1" si="19">(INDEX(CdP,2,i_P+1)-INDEX(CdP,2,i_P+0))/(INDEX(CdP,1,i_P+1)-INDEX(CdP,1,i_P+0))*(t-pas/2-T_ini-INDEX(CdP,1,i_P+0))+INDEX(CdP,2,i_P+0)</f>
        <v>62.499999999998664</v>
      </c>
      <c r="R5" s="306">
        <f t="shared" ref="R5:R68" ca="1" si="20">Poussee/(g*ISP)</f>
        <v>3.3171861836562053E-2</v>
      </c>
      <c r="S5" s="307">
        <f t="shared" ref="S5:S68" ca="1" si="21">S4-Débit*pas</f>
        <v>3.0545682813816342</v>
      </c>
      <c r="T5" s="304">
        <f t="shared" ca="1" si="1"/>
        <v>29.965314840353834</v>
      </c>
      <c r="U5" s="311">
        <f t="shared" ca="1" si="2"/>
        <v>0</v>
      </c>
      <c r="V5" s="306">
        <f t="shared" ca="1" si="3"/>
        <v>1.1653726631158428</v>
      </c>
      <c r="W5" s="304">
        <f t="shared" ca="1" si="4"/>
        <v>74.404470387485489</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498.89573959931016</v>
      </c>
      <c r="AG5" s="306">
        <f t="shared" ref="AG5:AG68" ca="1" si="27">IF(AND(L4&lt;L_rampe,Poussee&lt;Poids*SIN(M4)),0,(-W4+Poussee)/m-Poids*SIN(M4)/m)</f>
        <v>-13.526369927458301</v>
      </c>
      <c r="AH5" s="304">
        <f t="shared" ref="AH5:AH68" ca="1" si="28">IF(AND(L4&lt;L_rampe,Poussee&lt;Poids*SIN(M4)), g*SIN(M4), (-W4+Poussee)/m)</f>
        <v>-3.9388152191307308</v>
      </c>
    </row>
    <row r="6" spans="1:248" x14ac:dyDescent="0.2">
      <c r="A6" s="347">
        <f t="shared" ca="1" si="6"/>
        <v>0.01</v>
      </c>
      <c r="B6" s="304">
        <f t="shared" ca="1" si="7"/>
        <v>3.2199999999999998</v>
      </c>
      <c r="D6" s="306">
        <f t="shared" ca="1" si="8"/>
        <v>7.8467343661687838</v>
      </c>
      <c r="E6" s="307">
        <f t="shared" ca="1" si="9"/>
        <v>26.386359199767355</v>
      </c>
      <c r="F6" s="304">
        <f t="shared" ca="1" si="10"/>
        <v>27.528370675220891</v>
      </c>
      <c r="G6" s="306">
        <f t="shared" ca="1" si="11"/>
        <v>37.488019041873905</v>
      </c>
      <c r="H6" s="307">
        <f t="shared" ca="1" si="12"/>
        <v>172.83113904469005</v>
      </c>
      <c r="I6" s="304">
        <f t="shared" ca="1" si="13"/>
        <v>176.85008961029362</v>
      </c>
      <c r="J6" s="306">
        <f t="shared" ca="1" si="14"/>
        <v>101.30053271825916</v>
      </c>
      <c r="K6" s="307">
        <f t="shared" ca="1" si="15"/>
        <v>500.62273167179706</v>
      </c>
      <c r="L6" s="304">
        <f t="shared" ca="1" si="0"/>
        <v>510.76894717233466</v>
      </c>
      <c r="M6" s="306">
        <f t="shared" ca="1" si="16"/>
        <v>1.3571996026314357</v>
      </c>
      <c r="N6" s="304">
        <f t="shared" ca="1" si="17"/>
        <v>77.761809187613679</v>
      </c>
      <c r="P6" s="310">
        <f t="shared" ca="1" si="18"/>
        <v>1</v>
      </c>
      <c r="Q6" s="304">
        <f t="shared" ca="1" si="19"/>
        <v>187.49999999999599</v>
      </c>
      <c r="R6" s="306">
        <f t="shared" ca="1" si="20"/>
        <v>9.9515585509686158E-2</v>
      </c>
      <c r="S6" s="307">
        <f t="shared" ca="1" si="21"/>
        <v>3.0535731255265373</v>
      </c>
      <c r="T6" s="304">
        <f t="shared" ca="1" si="1"/>
        <v>29.955552361415332</v>
      </c>
      <c r="U6" s="311">
        <f t="shared" ca="1" si="2"/>
        <v>0</v>
      </c>
      <c r="V6" s="306">
        <f t="shared" ca="1" si="3"/>
        <v>1.1651712958357594</v>
      </c>
      <c r="W6" s="304">
        <f t="shared" ca="1" si="4"/>
        <v>74.623087703824282</v>
      </c>
      <c r="Y6" s="314" t="str">
        <f t="shared" ca="1" si="22"/>
        <v/>
      </c>
      <c r="Z6" s="315" t="str">
        <f t="shared" ca="1" si="23"/>
        <v/>
      </c>
      <c r="AA6" s="316" t="str">
        <f t="shared" ca="1" si="24"/>
        <v/>
      </c>
      <c r="AC6" s="310" t="e">
        <f t="shared" ca="1" si="25"/>
        <v>#N/A</v>
      </c>
      <c r="AD6" s="323" t="e">
        <f t="shared" ca="1" si="26"/>
        <v>#N/A</v>
      </c>
      <c r="AE6" s="324">
        <f t="shared" ca="1" si="5"/>
        <v>500.62273167179706</v>
      </c>
      <c r="AG6" s="306">
        <f t="shared" ca="1" si="27"/>
        <v>27.449801645436423</v>
      </c>
      <c r="AH6" s="304">
        <f t="shared" ca="1" si="28"/>
        <v>37.037111922122079</v>
      </c>
    </row>
    <row r="7" spans="1:248" x14ac:dyDescent="0.2">
      <c r="A7" s="347">
        <f t="shared" ca="1" si="6"/>
        <v>0.01</v>
      </c>
      <c r="B7" s="304">
        <f t="shared" ca="1" si="7"/>
        <v>3.2299999999999995</v>
      </c>
      <c r="D7" s="306">
        <f t="shared" ca="1" si="8"/>
        <v>11.48510489291577</v>
      </c>
      <c r="E7" s="307">
        <f t="shared" ca="1" si="9"/>
        <v>43.139817339592142</v>
      </c>
      <c r="F7" s="304">
        <f t="shared" ca="1" si="10"/>
        <v>44.642485084218293</v>
      </c>
      <c r="G7" s="306">
        <f t="shared" ca="1" si="11"/>
        <v>37.602870090803066</v>
      </c>
      <c r="H7" s="307">
        <f t="shared" ca="1" si="12"/>
        <v>173.26253721808598</v>
      </c>
      <c r="I7" s="304">
        <f t="shared" ca="1" si="13"/>
        <v>177.29603109577621</v>
      </c>
      <c r="J7" s="306">
        <f t="shared" ca="1" si="14"/>
        <v>101.67598716392254</v>
      </c>
      <c r="K7" s="307">
        <f t="shared" ca="1" si="15"/>
        <v>502.35320005311092</v>
      </c>
      <c r="L7" s="304">
        <f t="shared" ca="1" si="0"/>
        <v>512.53950478900549</v>
      </c>
      <c r="M7" s="306">
        <f t="shared" ca="1" si="16"/>
        <v>1.3570823136533687</v>
      </c>
      <c r="N7" s="304">
        <f t="shared" ca="1" si="17"/>
        <v>77.755089024187043</v>
      </c>
      <c r="P7" s="310">
        <f t="shared" ca="1" si="18"/>
        <v>2</v>
      </c>
      <c r="Q7" s="304">
        <f t="shared" ca="1" si="19"/>
        <v>240.00000000000108</v>
      </c>
      <c r="R7" s="306">
        <f t="shared" ca="1" si="20"/>
        <v>0.12737994945240158</v>
      </c>
      <c r="S7" s="307">
        <f t="shared" ca="1" si="21"/>
        <v>3.052299326032013</v>
      </c>
      <c r="T7" s="304">
        <f t="shared" ca="1" si="1"/>
        <v>29.94305638837405</v>
      </c>
      <c r="U7" s="311">
        <f t="shared" ca="1" si="2"/>
        <v>0</v>
      </c>
      <c r="V7" s="306">
        <f t="shared" ca="1" si="3"/>
        <v>1.164969557244437</v>
      </c>
      <c r="W7" s="304">
        <f t="shared" ca="1" si="4"/>
        <v>74.986912681375031</v>
      </c>
      <c r="Y7" s="314" t="str">
        <f t="shared" ca="1" si="22"/>
        <v/>
      </c>
      <c r="Z7" s="315" t="str">
        <f t="shared" ca="1" si="23"/>
        <v/>
      </c>
      <c r="AA7" s="316" t="str">
        <f t="shared" ca="1" si="24"/>
        <v/>
      </c>
      <c r="AC7" s="310" t="e">
        <f t="shared" ca="1" si="25"/>
        <v>#N/A</v>
      </c>
      <c r="AD7" s="323" t="e">
        <f t="shared" ca="1" si="26"/>
        <v>#N/A</v>
      </c>
      <c r="AE7" s="324">
        <f t="shared" ca="1" si="5"/>
        <v>502.35320005311092</v>
      </c>
      <c r="AG7" s="306">
        <f t="shared" ca="1" si="27"/>
        <v>44.594026597802149</v>
      </c>
      <c r="AH7" s="304">
        <f t="shared" ca="1" si="28"/>
        <v>54.181092557251475</v>
      </c>
    </row>
    <row r="8" spans="1:248" x14ac:dyDescent="0.2">
      <c r="A8" s="347">
        <f t="shared" ca="1" si="6"/>
        <v>0.01</v>
      </c>
      <c r="B8" s="304">
        <f t="shared" ca="1" si="7"/>
        <v>3.2399999999999993</v>
      </c>
      <c r="D8" s="306">
        <f t="shared" ca="1" si="8"/>
        <v>10.080178638353008</v>
      </c>
      <c r="E8" s="307">
        <f t="shared" ca="1" si="9"/>
        <v>36.636383541339249</v>
      </c>
      <c r="F8" s="304">
        <f t="shared" ca="1" si="10"/>
        <v>37.997823626745017</v>
      </c>
      <c r="G8" s="306">
        <f t="shared" ca="1" si="11"/>
        <v>37.703671877186594</v>
      </c>
      <c r="H8" s="307">
        <f t="shared" ca="1" si="12"/>
        <v>173.62890105349936</v>
      </c>
      <c r="I8" s="304">
        <f t="shared" ca="1" si="13"/>
        <v>177.67544049211872</v>
      </c>
      <c r="J8" s="306">
        <f t="shared" ca="1" si="14"/>
        <v>102.05251987376249</v>
      </c>
      <c r="K8" s="307">
        <f t="shared" ca="1" si="15"/>
        <v>504.08765724446886</v>
      </c>
      <c r="L8" s="304">
        <f t="shared" ca="1" si="0"/>
        <v>514.31418704795783</v>
      </c>
      <c r="M8" s="306">
        <f t="shared" ca="1" si="16"/>
        <v>1.3569652118486768</v>
      </c>
      <c r="N8" s="304">
        <f t="shared" ca="1" si="17"/>
        <v>77.748379585004827</v>
      </c>
      <c r="P8" s="310">
        <f t="shared" ca="1" si="18"/>
        <v>2</v>
      </c>
      <c r="Q8" s="304">
        <f t="shared" ca="1" si="19"/>
        <v>220.00000000000148</v>
      </c>
      <c r="R8" s="306">
        <f t="shared" ca="1" si="20"/>
        <v>0.1167649536647017</v>
      </c>
      <c r="S8" s="307">
        <f t="shared" ca="1" si="21"/>
        <v>3.0511316764953662</v>
      </c>
      <c r="T8" s="304">
        <f t="shared" ca="1" si="1"/>
        <v>29.931601746419545</v>
      </c>
      <c r="U8" s="311">
        <f t="shared" ca="1" si="2"/>
        <v>0</v>
      </c>
      <c r="V8" s="306">
        <f t="shared" ca="1" si="3"/>
        <v>1.16476738780608</v>
      </c>
      <c r="W8" s="304">
        <f t="shared" ca="1" si="4"/>
        <v>75.295127568870555</v>
      </c>
      <c r="Y8" s="314" t="str">
        <f t="shared" ca="1" si="22"/>
        <v/>
      </c>
      <c r="Z8" s="315" t="str">
        <f t="shared" ca="1" si="23"/>
        <v/>
      </c>
      <c r="AA8" s="316" t="str">
        <f t="shared" ca="1" si="24"/>
        <v/>
      </c>
      <c r="AC8" s="310" t="e">
        <f t="shared" ca="1" si="25"/>
        <v>#N/A</v>
      </c>
      <c r="AD8" s="323" t="e">
        <f t="shared" ca="1" si="26"/>
        <v>#N/A</v>
      </c>
      <c r="AE8" s="324">
        <f t="shared" ca="1" si="5"/>
        <v>504.08765724446886</v>
      </c>
      <c r="AG8" s="306">
        <f t="shared" ca="1" si="27"/>
        <v>37.940817812574792</v>
      </c>
      <c r="AH8" s="304">
        <f t="shared" ca="1" si="28"/>
        <v>47.527639805173344</v>
      </c>
    </row>
    <row r="9" spans="1:248" x14ac:dyDescent="0.2">
      <c r="A9" s="347">
        <f t="shared" ca="1" si="6"/>
        <v>0.01</v>
      </c>
      <c r="B9" s="304">
        <f t="shared" ca="1" si="7"/>
        <v>3.2499999999999991</v>
      </c>
      <c r="D9" s="306">
        <f t="shared" ca="1" si="8"/>
        <v>9.3421115499213663</v>
      </c>
      <c r="E9" s="307">
        <f t="shared" ca="1" si="9"/>
        <v>33.211288940123424</v>
      </c>
      <c r="F9" s="304">
        <f t="shared" ca="1" si="10"/>
        <v>34.500213930866266</v>
      </c>
      <c r="G9" s="306">
        <f t="shared" ca="1" si="11"/>
        <v>37.797092992685805</v>
      </c>
      <c r="H9" s="307">
        <f t="shared" ca="1" si="12"/>
        <v>173.96101394290059</v>
      </c>
      <c r="I9" s="304">
        <f t="shared" ca="1" si="13"/>
        <v>178.01981521937324</v>
      </c>
      <c r="J9" s="306">
        <f t="shared" ca="1" si="14"/>
        <v>102.43002369811185</v>
      </c>
      <c r="K9" s="307">
        <f t="shared" ca="1" si="15"/>
        <v>505.82560681945085</v>
      </c>
      <c r="L9" s="304">
        <f t="shared" ca="1" si="0"/>
        <v>516.0924861583062</v>
      </c>
      <c r="M9" s="306">
        <f t="shared" ca="1" si="16"/>
        <v>1.3568482735128844</v>
      </c>
      <c r="N9" s="304">
        <f t="shared" ca="1" si="17"/>
        <v>77.741679511900642</v>
      </c>
      <c r="P9" s="310">
        <f t="shared" ca="1" si="18"/>
        <v>3</v>
      </c>
      <c r="Q9" s="304">
        <f t="shared" ca="1" si="19"/>
        <v>209.56896551724145</v>
      </c>
      <c r="R9" s="306">
        <f t="shared" ca="1" si="20"/>
        <v>0.11122868430990909</v>
      </c>
      <c r="S9" s="307">
        <f t="shared" ca="1" si="21"/>
        <v>3.0500193896522672</v>
      </c>
      <c r="T9" s="304">
        <f t="shared" ca="1" si="1"/>
        <v>29.920690212488743</v>
      </c>
      <c r="U9" s="311">
        <f t="shared" ca="1" si="2"/>
        <v>0</v>
      </c>
      <c r="V9" s="306">
        <f t="shared" ca="1" si="3"/>
        <v>1.1645648455970719</v>
      </c>
      <c r="W9" s="304">
        <f t="shared" ca="1" si="4"/>
        <v>75.574144087431009</v>
      </c>
      <c r="Y9" s="314" t="str">
        <f t="shared" ca="1" si="22"/>
        <v/>
      </c>
      <c r="Z9" s="315" t="str">
        <f t="shared" ca="1" si="23"/>
        <v/>
      </c>
      <c r="AA9" s="316" t="str">
        <f t="shared" ca="1" si="24"/>
        <v/>
      </c>
      <c r="AC9" s="310" t="e">
        <f t="shared" ca="1" si="25"/>
        <v>#N/A</v>
      </c>
      <c r="AD9" s="323" t="e">
        <f t="shared" ca="1" si="26"/>
        <v>#N/A</v>
      </c>
      <c r="AE9" s="324">
        <f t="shared" ca="1" si="5"/>
        <v>505.82560681945085</v>
      </c>
      <c r="AG9" s="306">
        <f t="shared" ca="1" si="27"/>
        <v>34.437351008191747</v>
      </c>
      <c r="AH9" s="304">
        <f t="shared" ca="1" si="28"/>
        <v>44.023929291701805</v>
      </c>
    </row>
    <row r="10" spans="1:248" x14ac:dyDescent="0.2">
      <c r="A10" s="347">
        <f t="shared" ca="1" si="6"/>
        <v>0.01</v>
      </c>
      <c r="B10" s="304">
        <f t="shared" ca="1" si="7"/>
        <v>3.2599999999999989</v>
      </c>
      <c r="D10" s="306">
        <f t="shared" ca="1" si="8"/>
        <v>9.2710755556368607</v>
      </c>
      <c r="E10" s="307">
        <f t="shared" ca="1" si="9"/>
        <v>32.860099108201936</v>
      </c>
      <c r="F10" s="304">
        <f t="shared" ca="1" si="10"/>
        <v>34.142919549434858</v>
      </c>
      <c r="G10" s="306">
        <f t="shared" ca="1" si="11"/>
        <v>37.889803748242173</v>
      </c>
      <c r="H10" s="307">
        <f t="shared" ca="1" si="12"/>
        <v>174.28961493398262</v>
      </c>
      <c r="I10" s="304">
        <f t="shared" ca="1" si="13"/>
        <v>178.36060972624043</v>
      </c>
      <c r="J10" s="306">
        <f t="shared" ca="1" si="14"/>
        <v>102.80845818181649</v>
      </c>
      <c r="K10" s="307">
        <f t="shared" ca="1" si="15"/>
        <v>507.56685996383527</v>
      </c>
      <c r="L10" s="304">
        <f t="shared" ca="1" si="0"/>
        <v>517.87420905782699</v>
      </c>
      <c r="M10" s="306">
        <f t="shared" ca="1" si="16"/>
        <v>1.3567314957601933</v>
      </c>
      <c r="N10" s="304">
        <f t="shared" ca="1" si="17"/>
        <v>77.734988639530414</v>
      </c>
      <c r="P10" s="310">
        <f t="shared" ca="1" si="18"/>
        <v>3</v>
      </c>
      <c r="Q10" s="304">
        <f t="shared" ca="1" si="19"/>
        <v>208.70689655172424</v>
      </c>
      <c r="R10" s="306">
        <f t="shared" ca="1" si="20"/>
        <v>0.11077114138802549</v>
      </c>
      <c r="S10" s="307">
        <f t="shared" ca="1" si="21"/>
        <v>3.0489116782383867</v>
      </c>
      <c r="T10" s="304">
        <f t="shared" ca="1" si="1"/>
        <v>29.909823563518575</v>
      </c>
      <c r="U10" s="311">
        <f t="shared" ca="1" si="2"/>
        <v>0</v>
      </c>
      <c r="V10" s="306">
        <f t="shared" ca="1" si="3"/>
        <v>1.1643619528146409</v>
      </c>
      <c r="W10" s="304">
        <f t="shared" ca="1" si="4"/>
        <v>75.850556570122322</v>
      </c>
      <c r="Y10" s="314" t="str">
        <f t="shared" ca="1" si="22"/>
        <v/>
      </c>
      <c r="Z10" s="315" t="str">
        <f t="shared" ca="1" si="23"/>
        <v/>
      </c>
      <c r="AA10" s="316" t="str">
        <f t="shared" ca="1" si="24"/>
        <v/>
      </c>
      <c r="AC10" s="310" t="e">
        <f t="shared" ca="1" si="25"/>
        <v>#N/A</v>
      </c>
      <c r="AD10" s="323" t="e">
        <f t="shared" ca="1" si="26"/>
        <v>#N/A</v>
      </c>
      <c r="AE10" s="324">
        <f t="shared" ca="1" si="5"/>
        <v>507.56685996383527</v>
      </c>
      <c r="AG10" s="306">
        <f t="shared" ca="1" si="27"/>
        <v>34.079329071146056</v>
      </c>
      <c r="AH10" s="304">
        <f t="shared" ca="1" si="28"/>
        <v>43.66566385459064</v>
      </c>
    </row>
    <row r="11" spans="1:248" x14ac:dyDescent="0.2">
      <c r="A11" s="347">
        <f t="shared" ca="1" si="6"/>
        <v>0.01</v>
      </c>
      <c r="B11" s="304">
        <f t="shared" ca="1" si="7"/>
        <v>3.2699999999999987</v>
      </c>
      <c r="D11" s="306">
        <f t="shared" ca="1" si="8"/>
        <v>9.200063128793607</v>
      </c>
      <c r="E11" s="307">
        <f t="shared" ca="1" si="9"/>
        <v>32.509444849596498</v>
      </c>
      <c r="F11" s="304">
        <f t="shared" ca="1" si="10"/>
        <v>33.786168264583424</v>
      </c>
      <c r="G11" s="306">
        <f t="shared" ca="1" si="11"/>
        <v>37.981804379530111</v>
      </c>
      <c r="H11" s="307">
        <f t="shared" ca="1" si="12"/>
        <v>174.61470938247859</v>
      </c>
      <c r="I11" s="304">
        <f t="shared" ca="1" si="13"/>
        <v>178.69782930033691</v>
      </c>
      <c r="J11" s="306">
        <f t="shared" ca="1" si="14"/>
        <v>103.18781622245535</v>
      </c>
      <c r="K11" s="307">
        <f t="shared" ca="1" si="15"/>
        <v>509.31138158541756</v>
      </c>
      <c r="L11" s="304">
        <f t="shared" ca="1" si="0"/>
        <v>519.65931996761685</v>
      </c>
      <c r="M11" s="306">
        <f t="shared" ca="1" si="16"/>
        <v>1.3566148757328642</v>
      </c>
      <c r="N11" s="304">
        <f t="shared" ca="1" si="17"/>
        <v>77.728306804157768</v>
      </c>
      <c r="P11" s="310">
        <f t="shared" ca="1" si="18"/>
        <v>3</v>
      </c>
      <c r="Q11" s="304">
        <f t="shared" ca="1" si="19"/>
        <v>207.844827586207</v>
      </c>
      <c r="R11" s="306">
        <f t="shared" ca="1" si="20"/>
        <v>0.11031359846614187</v>
      </c>
      <c r="S11" s="307">
        <f t="shared" ca="1" si="21"/>
        <v>3.0478085422537253</v>
      </c>
      <c r="T11" s="304">
        <f t="shared" ca="1" si="1"/>
        <v>29.899001799509048</v>
      </c>
      <c r="U11" s="311">
        <f t="shared" ca="1" si="2"/>
        <v>0</v>
      </c>
      <c r="V11" s="306">
        <f t="shared" ca="1" si="3"/>
        <v>1.1641587137340634</v>
      </c>
      <c r="W11" s="304">
        <f t="shared" ca="1" si="4"/>
        <v>76.124353384420431</v>
      </c>
      <c r="Y11" s="314" t="str">
        <f t="shared" ca="1" si="22"/>
        <v/>
      </c>
      <c r="Z11" s="315" t="str">
        <f t="shared" ca="1" si="23"/>
        <v/>
      </c>
      <c r="AA11" s="316" t="str">
        <f t="shared" ca="1" si="24"/>
        <v/>
      </c>
      <c r="AC11" s="310" t="e">
        <f t="shared" ca="1" si="25"/>
        <v>#N/A</v>
      </c>
      <c r="AD11" s="323" t="e">
        <f t="shared" ca="1" si="26"/>
        <v>#N/A</v>
      </c>
      <c r="AE11" s="324">
        <f t="shared" ca="1" si="5"/>
        <v>509.31138158541756</v>
      </c>
      <c r="AG11" s="306">
        <f t="shared" ca="1" si="27"/>
        <v>33.721835893064181</v>
      </c>
      <c r="AH11" s="304">
        <f t="shared" ca="1" si="28"/>
        <v>43.307927380005466</v>
      </c>
    </row>
    <row r="12" spans="1:248" x14ac:dyDescent="0.2">
      <c r="A12" s="347">
        <f t="shared" ca="1" si="6"/>
        <v>0.01</v>
      </c>
      <c r="B12" s="304">
        <f t="shared" ca="1" si="7"/>
        <v>3.2799999999999985</v>
      </c>
      <c r="D12" s="306">
        <f t="shared" ca="1" si="8"/>
        <v>9.1290760185903146</v>
      </c>
      <c r="E12" s="307">
        <f t="shared" ca="1" si="9"/>
        <v>32.15933194610971</v>
      </c>
      <c r="F12" s="304">
        <f t="shared" ca="1" si="10"/>
        <v>33.429966499733041</v>
      </c>
      <c r="G12" s="306">
        <f t="shared" ca="1" si="11"/>
        <v>38.073095139716017</v>
      </c>
      <c r="H12" s="307">
        <f t="shared" ca="1" si="12"/>
        <v>174.9363027019397</v>
      </c>
      <c r="I12" s="304">
        <f t="shared" ca="1" si="13"/>
        <v>179.03147928937676</v>
      </c>
      <c r="J12" s="306">
        <f t="shared" ca="1" si="14"/>
        <v>103.56809072005159</v>
      </c>
      <c r="K12" s="307">
        <f t="shared" ca="1" si="15"/>
        <v>511.05913664583966</v>
      </c>
      <c r="L12" s="304">
        <f t="shared" ca="1" si="0"/>
        <v>521.44778316202269</v>
      </c>
      <c r="M12" s="306">
        <f t="shared" ca="1" si="16"/>
        <v>1.3564984106006981</v>
      </c>
      <c r="N12" s="304">
        <f t="shared" ca="1" si="17"/>
        <v>77.721633843624204</v>
      </c>
      <c r="P12" s="310">
        <f t="shared" ca="1" si="18"/>
        <v>3</v>
      </c>
      <c r="Q12" s="304">
        <f t="shared" ca="1" si="19"/>
        <v>206.98275862068979</v>
      </c>
      <c r="R12" s="306">
        <f t="shared" ca="1" si="20"/>
        <v>0.10985605554425826</v>
      </c>
      <c r="S12" s="307">
        <f t="shared" ca="1" si="21"/>
        <v>3.0467099816982826</v>
      </c>
      <c r="T12" s="304">
        <f t="shared" ca="1" si="1"/>
        <v>29.888224920460154</v>
      </c>
      <c r="U12" s="311">
        <f t="shared" ca="1" si="2"/>
        <v>0</v>
      </c>
      <c r="V12" s="306">
        <f t="shared" ca="1" si="3"/>
        <v>1.163955132621832</v>
      </c>
      <c r="W12" s="304">
        <f t="shared" ca="1" si="4"/>
        <v>76.395523183175811</v>
      </c>
      <c r="Y12" s="314" t="str">
        <f t="shared" ca="1" si="22"/>
        <v/>
      </c>
      <c r="Z12" s="315" t="str">
        <f t="shared" ca="1" si="23"/>
        <v/>
      </c>
      <c r="AA12" s="316" t="str">
        <f t="shared" ca="1" si="24"/>
        <v/>
      </c>
      <c r="AC12" s="310" t="e">
        <f t="shared" ca="1" si="25"/>
        <v>#N/A</v>
      </c>
      <c r="AD12" s="323" t="e">
        <f t="shared" ca="1" si="26"/>
        <v>#N/A</v>
      </c>
      <c r="AE12" s="324">
        <f t="shared" ca="1" si="5"/>
        <v>511.05913664583966</v>
      </c>
      <c r="AG12" s="306">
        <f t="shared" ca="1" si="27"/>
        <v>33.364877483698251</v>
      </c>
      <c r="AH12" s="304">
        <f t="shared" ca="1" si="28"/>
        <v>42.950725872282369</v>
      </c>
    </row>
    <row r="13" spans="1:248" x14ac:dyDescent="0.2">
      <c r="A13" s="347">
        <f t="shared" ca="1" si="6"/>
        <v>0.01</v>
      </c>
      <c r="B13" s="304">
        <f t="shared" ca="1" si="7"/>
        <v>3.2899999999999983</v>
      </c>
      <c r="D13" s="306">
        <f t="shared" ca="1" si="8"/>
        <v>9.0581159521887002</v>
      </c>
      <c r="E13" s="307">
        <f t="shared" ca="1" si="9"/>
        <v>31.809766092207703</v>
      </c>
      <c r="F13" s="304">
        <f t="shared" ca="1" si="10"/>
        <v>33.07432060442455</v>
      </c>
      <c r="G13" s="306">
        <f t="shared" ca="1" si="11"/>
        <v>38.163676299237906</v>
      </c>
      <c r="H13" s="307">
        <f t="shared" ca="1" si="12"/>
        <v>175.25440036286176</v>
      </c>
      <c r="I13" s="304">
        <f t="shared" ca="1" si="13"/>
        <v>179.3615651002724</v>
      </c>
      <c r="J13" s="306">
        <f t="shared" ca="1" si="14"/>
        <v>103.94927457724636</v>
      </c>
      <c r="K13" s="307">
        <f t="shared" ca="1" si="15"/>
        <v>512.81009016116366</v>
      </c>
      <c r="L13" s="304">
        <f t="shared" ca="1" si="0"/>
        <v>523.23956296923552</v>
      </c>
      <c r="M13" s="306">
        <f t="shared" ca="1" si="16"/>
        <v>1.3563820975605263</v>
      </c>
      <c r="N13" s="304">
        <f t="shared" ca="1" si="17"/>
        <v>77.714969597320035</v>
      </c>
      <c r="P13" s="310">
        <f t="shared" ca="1" si="18"/>
        <v>3</v>
      </c>
      <c r="Q13" s="304">
        <f t="shared" ca="1" si="19"/>
        <v>206.12068965517258</v>
      </c>
      <c r="R13" s="306">
        <f t="shared" ca="1" si="20"/>
        <v>0.10939851262237466</v>
      </c>
      <c r="S13" s="307">
        <f t="shared" ca="1" si="21"/>
        <v>3.0456159965720588</v>
      </c>
      <c r="T13" s="304">
        <f t="shared" ca="1" si="1"/>
        <v>29.8774929263719</v>
      </c>
      <c r="U13" s="311">
        <f t="shared" ca="1" si="2"/>
        <v>0</v>
      </c>
      <c r="V13" s="306">
        <f t="shared" ca="1" si="3"/>
        <v>1.1637512137355832</v>
      </c>
      <c r="W13" s="304">
        <f t="shared" ca="1" si="4"/>
        <v>76.66405490311341</v>
      </c>
      <c r="Y13" s="314" t="str">
        <f t="shared" ca="1" si="22"/>
        <v/>
      </c>
      <c r="Z13" s="315" t="str">
        <f t="shared" ca="1" si="23"/>
        <v/>
      </c>
      <c r="AA13" s="316" t="str">
        <f t="shared" ca="1" si="24"/>
        <v/>
      </c>
      <c r="AC13" s="310" t="e">
        <f t="shared" ca="1" si="25"/>
        <v>#N/A</v>
      </c>
      <c r="AD13" s="323" t="e">
        <f t="shared" ca="1" si="26"/>
        <v>#N/A</v>
      </c>
      <c r="AE13" s="324">
        <f t="shared" ca="1" si="5"/>
        <v>512.81009016116366</v>
      </c>
      <c r="AG13" s="306">
        <f t="shared" ca="1" si="27"/>
        <v>33.008459762915336</v>
      </c>
      <c r="AH13" s="304">
        <f t="shared" ca="1" si="28"/>
        <v>42.594065245916333</v>
      </c>
    </row>
    <row r="14" spans="1:248" x14ac:dyDescent="0.2">
      <c r="A14" s="347">
        <f t="shared" ca="1" si="6"/>
        <v>0.01</v>
      </c>
      <c r="B14" s="304">
        <f t="shared" ca="1" si="7"/>
        <v>3.299999999999998</v>
      </c>
      <c r="D14" s="306">
        <f t="shared" ca="1" si="8"/>
        <v>8.9871846347892266</v>
      </c>
      <c r="E14" s="307">
        <f t="shared" ca="1" si="9"/>
        <v>31.460752895254032</v>
      </c>
      <c r="F14" s="304">
        <f t="shared" ca="1" si="10"/>
        <v>32.719236855342857</v>
      </c>
      <c r="G14" s="306">
        <f t="shared" ca="1" si="11"/>
        <v>38.253548145585796</v>
      </c>
      <c r="H14" s="307">
        <f t="shared" ca="1" si="12"/>
        <v>175.56900789181429</v>
      </c>
      <c r="I14" s="304">
        <f t="shared" ca="1" si="13"/>
        <v>179.68809219823834</v>
      </c>
      <c r="J14" s="306">
        <f t="shared" ca="1" si="14"/>
        <v>104.33136069947048</v>
      </c>
      <c r="K14" s="307">
        <f t="shared" ca="1" si="15"/>
        <v>514.56420720243705</v>
      </c>
      <c r="L14" s="304">
        <f t="shared" ca="1" si="0"/>
        <v>525.03462377187623</v>
      </c>
      <c r="M14" s="306">
        <f t="shared" ca="1" si="16"/>
        <v>1.356265933835711</v>
      </c>
      <c r="N14" s="304">
        <f t="shared" ca="1" si="17"/>
        <v>77.708313906155595</v>
      </c>
      <c r="P14" s="310">
        <f t="shared" ca="1" si="18"/>
        <v>3</v>
      </c>
      <c r="Q14" s="304">
        <f t="shared" ca="1" si="19"/>
        <v>205.25862068965534</v>
      </c>
      <c r="R14" s="306">
        <f t="shared" ca="1" si="20"/>
        <v>0.10894096970049102</v>
      </c>
      <c r="S14" s="307">
        <f t="shared" ca="1" si="21"/>
        <v>3.0445265868750537</v>
      </c>
      <c r="T14" s="304">
        <f t="shared" ca="1" si="1"/>
        <v>29.866805817244277</v>
      </c>
      <c r="U14" s="311">
        <f t="shared" ca="1" si="2"/>
        <v>0</v>
      </c>
      <c r="V14" s="306">
        <f t="shared" ca="1" si="3"/>
        <v>1.1635469613240257</v>
      </c>
      <c r="W14" s="304">
        <f t="shared" ca="1" si="4"/>
        <v>76.929937763312125</v>
      </c>
      <c r="Y14" s="314" t="str">
        <f t="shared" ca="1" si="22"/>
        <v/>
      </c>
      <c r="Z14" s="315" t="str">
        <f t="shared" ca="1" si="23"/>
        <v/>
      </c>
      <c r="AA14" s="316" t="str">
        <f t="shared" ca="1" si="24"/>
        <v/>
      </c>
      <c r="AC14" s="310" t="e">
        <f t="shared" ca="1" si="25"/>
        <v>#N/A</v>
      </c>
      <c r="AD14" s="323" t="e">
        <f t="shared" ca="1" si="26"/>
        <v>#N/A</v>
      </c>
      <c r="AE14" s="324">
        <f t="shared" ca="1" si="5"/>
        <v>514.56420720243705</v>
      </c>
      <c r="AG14" s="306">
        <f t="shared" ca="1" si="27"/>
        <v>32.652588560940245</v>
      </c>
      <c r="AH14" s="304">
        <f t="shared" ca="1" si="28"/>
        <v>42.237951325803088</v>
      </c>
    </row>
    <row r="15" spans="1:248" x14ac:dyDescent="0.2">
      <c r="A15" s="347">
        <f t="shared" ca="1" si="6"/>
        <v>0.01</v>
      </c>
      <c r="B15" s="304">
        <f t="shared" ca="1" si="7"/>
        <v>3.3099999999999978</v>
      </c>
      <c r="D15" s="306">
        <f t="shared" ca="1" si="8"/>
        <v>8.9162837497078336</v>
      </c>
      <c r="E15" s="307">
        <f t="shared" ca="1" si="9"/>
        <v>31.112297875752716</v>
      </c>
      <c r="F15" s="304">
        <f t="shared" ca="1" si="10"/>
        <v>32.364721457396648</v>
      </c>
      <c r="G15" s="306">
        <f t="shared" ca="1" si="11"/>
        <v>38.342710983082874</v>
      </c>
      <c r="H15" s="307">
        <f t="shared" ca="1" si="12"/>
        <v>175.88013087057183</v>
      </c>
      <c r="I15" s="304">
        <f t="shared" ca="1" si="13"/>
        <v>180.01106610589721</v>
      </c>
      <c r="J15" s="306">
        <f t="shared" ca="1" si="14"/>
        <v>104.71434199511383</v>
      </c>
      <c r="K15" s="307">
        <f t="shared" ca="1" si="15"/>
        <v>516.32145289624896</v>
      </c>
      <c r="L15" s="304">
        <f t="shared" ca="1" si="0"/>
        <v>526.8329300075718</v>
      </c>
      <c r="M15" s="306">
        <f t="shared" ca="1" si="16"/>
        <v>1.3561499166756557</v>
      </c>
      <c r="N15" s="304">
        <f t="shared" ca="1" si="17"/>
        <v>77.70166661253333</v>
      </c>
      <c r="P15" s="310">
        <f t="shared" ca="1" si="18"/>
        <v>3</v>
      </c>
      <c r="Q15" s="304">
        <f t="shared" ca="1" si="19"/>
        <v>204.39655172413813</v>
      </c>
      <c r="R15" s="306">
        <f t="shared" ca="1" si="20"/>
        <v>0.10848342677860742</v>
      </c>
      <c r="S15" s="307">
        <f t="shared" ca="1" si="21"/>
        <v>3.0434417526072677</v>
      </c>
      <c r="T15" s="304">
        <f t="shared" ca="1" si="1"/>
        <v>29.856163593077298</v>
      </c>
      <c r="U15" s="311">
        <f t="shared" ca="1" si="2"/>
        <v>0</v>
      </c>
      <c r="V15" s="306">
        <f t="shared" ca="1" si="3"/>
        <v>1.1633423796268687</v>
      </c>
      <c r="W15" s="304">
        <f t="shared" ca="1" si="4"/>
        <v>77.193161263663754</v>
      </c>
      <c r="Y15" s="314" t="str">
        <f t="shared" ca="1" si="22"/>
        <v/>
      </c>
      <c r="Z15" s="315" t="str">
        <f t="shared" ca="1" si="23"/>
        <v/>
      </c>
      <c r="AA15" s="316" t="str">
        <f t="shared" ca="1" si="24"/>
        <v/>
      </c>
      <c r="AC15" s="310" t="e">
        <f t="shared" ca="1" si="25"/>
        <v>#N/A</v>
      </c>
      <c r="AD15" s="323" t="e">
        <f t="shared" ca="1" si="26"/>
        <v>#N/A</v>
      </c>
      <c r="AE15" s="324">
        <f t="shared" ca="1" si="5"/>
        <v>516.32145289624896</v>
      </c>
      <c r="AG15" s="306">
        <f t="shared" ca="1" si="27"/>
        <v>32.297269618607231</v>
      </c>
      <c r="AH15" s="304">
        <f t="shared" ca="1" si="28"/>
        <v>41.882389847490067</v>
      </c>
    </row>
    <row r="16" spans="1:248" x14ac:dyDescent="0.2">
      <c r="A16" s="347">
        <f t="shared" ca="1" si="6"/>
        <v>0.01</v>
      </c>
      <c r="B16" s="304">
        <f t="shared" ca="1" si="7"/>
        <v>3.3199999999999976</v>
      </c>
      <c r="D16" s="306">
        <f t="shared" ca="1" si="8"/>
        <v>8.8454149584536044</v>
      </c>
      <c r="E16" s="307">
        <f t="shared" ca="1" si="9"/>
        <v>30.764406467600487</v>
      </c>
      <c r="F16" s="304">
        <f t="shared" ca="1" si="10"/>
        <v>32.010780544856658</v>
      </c>
      <c r="G16" s="306">
        <f t="shared" ca="1" si="11"/>
        <v>38.43116513266741</v>
      </c>
      <c r="H16" s="307">
        <f t="shared" ca="1" si="12"/>
        <v>176.18777493524783</v>
      </c>
      <c r="I16" s="304">
        <f t="shared" ca="1" si="13"/>
        <v>180.3304924023885</v>
      </c>
      <c r="J16" s="306">
        <f t="shared" ca="1" si="14"/>
        <v>105.09821137569259</v>
      </c>
      <c r="K16" s="307">
        <f t="shared" ca="1" si="15"/>
        <v>518.08179242527808</v>
      </c>
      <c r="L16" s="304">
        <f t="shared" ca="1" si="0"/>
        <v>528.63444616952336</v>
      </c>
      <c r="M16" s="306">
        <f t="shared" ca="1" si="16"/>
        <v>1.3560340433553235</v>
      </c>
      <c r="N16" s="304">
        <f t="shared" ca="1" si="17"/>
        <v>77.695027560320128</v>
      </c>
      <c r="P16" s="310">
        <f t="shared" ca="1" si="18"/>
        <v>3</v>
      </c>
      <c r="Q16" s="304">
        <f t="shared" ca="1" si="19"/>
        <v>203.5344827586209</v>
      </c>
      <c r="R16" s="306">
        <f t="shared" ca="1" si="20"/>
        <v>0.10802588385672381</v>
      </c>
      <c r="S16" s="307">
        <f t="shared" ca="1" si="21"/>
        <v>3.0423614937687002</v>
      </c>
      <c r="T16" s="304">
        <f t="shared" ca="1" si="1"/>
        <v>29.845566253870953</v>
      </c>
      <c r="U16" s="311">
        <f t="shared" ca="1" si="2"/>
        <v>0</v>
      </c>
      <c r="V16" s="306">
        <f t="shared" ca="1" si="3"/>
        <v>1.1631374728747539</v>
      </c>
      <c r="W16" s="304">
        <f t="shared" ca="1" si="4"/>
        <v>77.453715183312312</v>
      </c>
      <c r="Y16" s="314" t="str">
        <f t="shared" ca="1" si="22"/>
        <v/>
      </c>
      <c r="Z16" s="315" t="str">
        <f t="shared" ca="1" si="23"/>
        <v/>
      </c>
      <c r="AA16" s="316" t="str">
        <f t="shared" ca="1" si="24"/>
        <v/>
      </c>
      <c r="AC16" s="310" t="e">
        <f t="shared" ca="1" si="25"/>
        <v>#N/A</v>
      </c>
      <c r="AD16" s="323" t="e">
        <f t="shared" ca="1" si="26"/>
        <v>#N/A</v>
      </c>
      <c r="AE16" s="324">
        <f t="shared" ca="1" si="5"/>
        <v>518.08179242527808</v>
      </c>
      <c r="AG16" s="306">
        <f t="shared" ca="1" si="27"/>
        <v>31.942508587621173</v>
      </c>
      <c r="AH16" s="304">
        <f t="shared" ca="1" si="28"/>
        <v>41.527386457436677</v>
      </c>
    </row>
    <row r="17" spans="1:34" x14ac:dyDescent="0.2">
      <c r="A17" s="347">
        <f t="shared" ca="1" si="6"/>
        <v>0.01</v>
      </c>
      <c r="B17" s="304">
        <f t="shared" ca="1" si="7"/>
        <v>3.3299999999999974</v>
      </c>
      <c r="D17" s="306">
        <f t="shared" ca="1" si="8"/>
        <v>8.7745799008075185</v>
      </c>
      <c r="E17" s="307">
        <f t="shared" ca="1" si="9"/>
        <v>30.417084018348163</v>
      </c>
      <c r="F17" s="304">
        <f t="shared" ca="1" si="10"/>
        <v>31.657420182556038</v>
      </c>
      <c r="G17" s="306">
        <f t="shared" ca="1" si="11"/>
        <v>38.518910931675485</v>
      </c>
      <c r="H17" s="307">
        <f t="shared" ca="1" si="12"/>
        <v>176.4919457754313</v>
      </c>
      <c r="I17" s="304">
        <f t="shared" ca="1" si="13"/>
        <v>180.64637672247991</v>
      </c>
      <c r="J17" s="306">
        <f t="shared" ca="1" si="14"/>
        <v>105.4829617560143</v>
      </c>
      <c r="K17" s="307">
        <f t="shared" ca="1" si="15"/>
        <v>519.84519102883144</v>
      </c>
      <c r="L17" s="304">
        <f t="shared" ca="1" si="0"/>
        <v>530.43913680706396</v>
      </c>
      <c r="M17" s="306">
        <f t="shared" ca="1" si="16"/>
        <v>1.3559183111747677</v>
      </c>
      <c r="N17" s="304">
        <f t="shared" ca="1" si="17"/>
        <v>77.688396594820432</v>
      </c>
      <c r="P17" s="310">
        <f t="shared" ca="1" si="18"/>
        <v>3</v>
      </c>
      <c r="Q17" s="304">
        <f t="shared" ca="1" si="19"/>
        <v>202.67241379310369</v>
      </c>
      <c r="R17" s="306">
        <f t="shared" ca="1" si="20"/>
        <v>0.10756834093484019</v>
      </c>
      <c r="S17" s="307">
        <f t="shared" ca="1" si="21"/>
        <v>3.0412858103593519</v>
      </c>
      <c r="T17" s="304">
        <f t="shared" ca="1" si="1"/>
        <v>29.835013799625244</v>
      </c>
      <c r="U17" s="311">
        <f t="shared" ca="1" si="2"/>
        <v>0</v>
      </c>
      <c r="V17" s="306">
        <f t="shared" ca="1" si="3"/>
        <v>1.1629322452891868</v>
      </c>
      <c r="W17" s="304">
        <f t="shared" ca="1" si="4"/>
        <v>77.711589579074172</v>
      </c>
      <c r="Y17" s="314" t="str">
        <f t="shared" ca="1" si="22"/>
        <v/>
      </c>
      <c r="Z17" s="315" t="str">
        <f t="shared" ca="1" si="23"/>
        <v/>
      </c>
      <c r="AA17" s="316" t="str">
        <f t="shared" ca="1" si="24"/>
        <v/>
      </c>
      <c r="AC17" s="310" t="e">
        <f t="shared" ca="1" si="25"/>
        <v>#N/A</v>
      </c>
      <c r="AD17" s="323" t="e">
        <f t="shared" ca="1" si="26"/>
        <v>#N/A</v>
      </c>
      <c r="AE17" s="324">
        <f t="shared" ca="1" si="5"/>
        <v>519.84519102883144</v>
      </c>
      <c r="AG17" s="306">
        <f t="shared" ca="1" si="27"/>
        <v>31.588311030827747</v>
      </c>
      <c r="AH17" s="304">
        <f t="shared" ca="1" si="28"/>
        <v>41.172946713283679</v>
      </c>
    </row>
    <row r="18" spans="1:34" x14ac:dyDescent="0.2">
      <c r="A18" s="347">
        <f t="shared" ca="1" si="6"/>
        <v>0.01</v>
      </c>
      <c r="B18" s="304">
        <f t="shared" ca="1" si="7"/>
        <v>3.3399999999999972</v>
      </c>
      <c r="D18" s="306">
        <f t="shared" ca="1" si="8"/>
        <v>8.7037801949020768</v>
      </c>
      <c r="E18" s="307">
        <f t="shared" ca="1" si="9"/>
        <v>30.070335789470676</v>
      </c>
      <c r="F18" s="304">
        <f t="shared" ca="1" si="10"/>
        <v>31.304646367155957</v>
      </c>
      <c r="G18" s="306">
        <f t="shared" ca="1" si="11"/>
        <v>38.605948733624508</v>
      </c>
      <c r="H18" s="307">
        <f t="shared" ca="1" si="12"/>
        <v>176.79264913332602</v>
      </c>
      <c r="I18" s="304">
        <f t="shared" ca="1" si="13"/>
        <v>180.95872475568169</v>
      </c>
      <c r="J18" s="306">
        <f t="shared" ca="1" si="14"/>
        <v>105.86858605434081</v>
      </c>
      <c r="K18" s="307">
        <f t="shared" ca="1" si="15"/>
        <v>521.61161400337528</v>
      </c>
      <c r="L18" s="304">
        <f t="shared" ca="1" si="0"/>
        <v>532.24696652620901</v>
      </c>
      <c r="M18" s="306">
        <f t="shared" ca="1" si="16"/>
        <v>1.3558027174586667</v>
      </c>
      <c r="N18" s="304">
        <f t="shared" ca="1" si="17"/>
        <v>77.681773562749612</v>
      </c>
      <c r="P18" s="310">
        <f t="shared" ca="1" si="18"/>
        <v>3</v>
      </c>
      <c r="Q18" s="304">
        <f t="shared" ca="1" si="19"/>
        <v>201.81034482758645</v>
      </c>
      <c r="R18" s="306">
        <f t="shared" ca="1" si="20"/>
        <v>0.10711079801295657</v>
      </c>
      <c r="S18" s="307">
        <f t="shared" ca="1" si="21"/>
        <v>3.0402147023792221</v>
      </c>
      <c r="T18" s="304">
        <f t="shared" ca="1" si="1"/>
        <v>29.82450623034017</v>
      </c>
      <c r="U18" s="311">
        <f t="shared" ca="1" si="2"/>
        <v>0</v>
      </c>
      <c r="V18" s="306">
        <f t="shared" ca="1" si="3"/>
        <v>1.1627267010824711</v>
      </c>
      <c r="W18" s="304">
        <f t="shared" ca="1" si="4"/>
        <v>77.966774783839568</v>
      </c>
      <c r="Y18" s="314" t="str">
        <f t="shared" ca="1" si="22"/>
        <v/>
      </c>
      <c r="Z18" s="315" t="str">
        <f t="shared" ca="1" si="23"/>
        <v/>
      </c>
      <c r="AA18" s="316" t="str">
        <f t="shared" ca="1" si="24"/>
        <v/>
      </c>
      <c r="AC18" s="310" t="e">
        <f t="shared" ca="1" si="25"/>
        <v>#N/A</v>
      </c>
      <c r="AD18" s="323" t="e">
        <f t="shared" ca="1" si="26"/>
        <v>#N/A</v>
      </c>
      <c r="AE18" s="324">
        <f t="shared" ca="1" si="5"/>
        <v>521.61161400337528</v>
      </c>
      <c r="AG18" s="306">
        <f t="shared" ca="1" si="27"/>
        <v>31.234682422492405</v>
      </c>
      <c r="AH18" s="304">
        <f t="shared" ca="1" si="28"/>
        <v>40.819076084131368</v>
      </c>
    </row>
    <row r="19" spans="1:34" x14ac:dyDescent="0.2">
      <c r="A19" s="347">
        <f t="shared" ca="1" si="6"/>
        <v>0.01</v>
      </c>
      <c r="B19" s="304">
        <f t="shared" ca="1" si="7"/>
        <v>3.349999999999997</v>
      </c>
      <c r="D19" s="306">
        <f t="shared" ca="1" si="8"/>
        <v>8.6330174373020423</v>
      </c>
      <c r="E19" s="307">
        <f t="shared" ca="1" si="9"/>
        <v>29.724166956645924</v>
      </c>
      <c r="F19" s="304">
        <f t="shared" ca="1" si="10"/>
        <v>30.952465028480727</v>
      </c>
      <c r="G19" s="306">
        <f t="shared" ca="1" si="11"/>
        <v>38.692278907997526</v>
      </c>
      <c r="H19" s="307">
        <f t="shared" ca="1" si="12"/>
        <v>177.08989080289248</v>
      </c>
      <c r="I19" s="304">
        <f t="shared" ca="1" si="13"/>
        <v>181.26754224536353</v>
      </c>
      <c r="J19" s="306">
        <f t="shared" ca="1" si="14"/>
        <v>106.25507719254892</v>
      </c>
      <c r="K19" s="307">
        <f t="shared" ca="1" si="15"/>
        <v>523.38102670305636</v>
      </c>
      <c r="L19" s="304">
        <f t="shared" ca="1" si="0"/>
        <v>534.0578999901976</v>
      </c>
      <c r="M19" s="306">
        <f t="shared" ca="1" si="16"/>
        <v>1.3556872595558724</v>
      </c>
      <c r="N19" s="304">
        <f t="shared" ca="1" si="17"/>
        <v>77.675158312208069</v>
      </c>
      <c r="P19" s="310">
        <f t="shared" ca="1" si="18"/>
        <v>3</v>
      </c>
      <c r="Q19" s="304">
        <f t="shared" ca="1" si="19"/>
        <v>200.94827586206924</v>
      </c>
      <c r="R19" s="306">
        <f t="shared" ca="1" si="20"/>
        <v>0.10665325509107296</v>
      </c>
      <c r="S19" s="307">
        <f t="shared" ca="1" si="21"/>
        <v>3.0391481698283114</v>
      </c>
      <c r="T19" s="304">
        <f t="shared" ca="1" si="1"/>
        <v>29.814043546015736</v>
      </c>
      <c r="U19" s="311">
        <f t="shared" ca="1" si="2"/>
        <v>0</v>
      </c>
      <c r="V19" s="306">
        <f t="shared" ca="1" si="3"/>
        <v>1.1625208444576405</v>
      </c>
      <c r="W19" s="304">
        <f t="shared" ca="1" si="4"/>
        <v>78.219261404955731</v>
      </c>
      <c r="Y19" s="314" t="str">
        <f t="shared" ca="1" si="22"/>
        <v/>
      </c>
      <c r="Z19" s="315" t="str">
        <f t="shared" ca="1" si="23"/>
        <v/>
      </c>
      <c r="AA19" s="316" t="str">
        <f t="shared" ca="1" si="24"/>
        <v/>
      </c>
      <c r="AC19" s="310" t="e">
        <f t="shared" ca="1" si="25"/>
        <v>#N/A</v>
      </c>
      <c r="AD19" s="323" t="e">
        <f t="shared" ca="1" si="26"/>
        <v>#N/A</v>
      </c>
      <c r="AE19" s="324">
        <f t="shared" ca="1" si="5"/>
        <v>523.38102670305636</v>
      </c>
      <c r="AG19" s="306">
        <f t="shared" ca="1" si="27"/>
        <v>30.881628148588149</v>
      </c>
      <c r="AH19" s="304">
        <f t="shared" ca="1" si="28"/>
        <v>40.465779950826544</v>
      </c>
    </row>
    <row r="20" spans="1:34" x14ac:dyDescent="0.2">
      <c r="A20" s="347">
        <f t="shared" ca="1" si="6"/>
        <v>0.01</v>
      </c>
      <c r="B20" s="304">
        <f t="shared" ca="1" si="7"/>
        <v>3.3599999999999968</v>
      </c>
      <c r="D20" s="306">
        <f t="shared" ca="1" si="8"/>
        <v>8.5622932030860106</v>
      </c>
      <c r="E20" s="307">
        <f t="shared" ca="1" si="9"/>
        <v>29.378582610042073</v>
      </c>
      <c r="F20" s="304">
        <f t="shared" ca="1" si="10"/>
        <v>30.600882030926485</v>
      </c>
      <c r="G20" s="306">
        <f t="shared" ca="1" si="11"/>
        <v>38.777901840028385</v>
      </c>
      <c r="H20" s="307">
        <f t="shared" ca="1" si="12"/>
        <v>177.3836766289929</v>
      </c>
      <c r="I20" s="304">
        <f t="shared" ca="1" si="13"/>
        <v>181.57283498787476</v>
      </c>
      <c r="J20" s="306">
        <f t="shared" ca="1" si="14"/>
        <v>106.64242809628905</v>
      </c>
      <c r="K20" s="307">
        <f t="shared" ca="1" si="15"/>
        <v>525.1533945402158</v>
      </c>
      <c r="L20" s="304">
        <f t="shared" ca="1" si="0"/>
        <v>535.8719019200239</v>
      </c>
      <c r="M20" s="306">
        <f t="shared" ca="1" si="16"/>
        <v>1.3555719348389632</v>
      </c>
      <c r="N20" s="304">
        <f t="shared" ca="1" si="17"/>
        <v>77.668550692655629</v>
      </c>
      <c r="P20" s="310">
        <f t="shared" ca="1" si="18"/>
        <v>3</v>
      </c>
      <c r="Q20" s="304">
        <f t="shared" ca="1" si="19"/>
        <v>200.086206896552</v>
      </c>
      <c r="R20" s="306">
        <f t="shared" ca="1" si="20"/>
        <v>0.10619571216918934</v>
      </c>
      <c r="S20" s="307">
        <f t="shared" ca="1" si="21"/>
        <v>3.0380862127066193</v>
      </c>
      <c r="T20" s="304">
        <f t="shared" ca="1" si="1"/>
        <v>29.803625746651935</v>
      </c>
      <c r="U20" s="311">
        <f t="shared" ca="1" si="2"/>
        <v>0</v>
      </c>
      <c r="V20" s="306">
        <f t="shared" ca="1" si="3"/>
        <v>1.1623146796083983</v>
      </c>
      <c r="W20" s="304">
        <f t="shared" ca="1" si="4"/>
        <v>78.469040322592932</v>
      </c>
      <c r="Y20" s="314" t="str">
        <f t="shared" ca="1" si="22"/>
        <v/>
      </c>
      <c r="Z20" s="315" t="str">
        <f t="shared" ca="1" si="23"/>
        <v/>
      </c>
      <c r="AA20" s="316" t="str">
        <f t="shared" ca="1" si="24"/>
        <v/>
      </c>
      <c r="AC20" s="310" t="e">
        <f t="shared" ca="1" si="25"/>
        <v>#N/A</v>
      </c>
      <c r="AD20" s="323" t="e">
        <f t="shared" ca="1" si="26"/>
        <v>#N/A</v>
      </c>
      <c r="AE20" s="324">
        <f t="shared" ca="1" si="5"/>
        <v>525.1533945402158</v>
      </c>
      <c r="AG20" s="306">
        <f t="shared" ca="1" si="27"/>
        <v>30.529153507091863</v>
      </c>
      <c r="AH20" s="304">
        <f t="shared" ca="1" si="28"/>
        <v>40.113063606258059</v>
      </c>
    </row>
    <row r="21" spans="1:34" x14ac:dyDescent="0.2">
      <c r="A21" s="347">
        <f t="shared" ca="1" si="6"/>
        <v>0.01</v>
      </c>
      <c r="B21" s="304">
        <f t="shared" ca="1" si="7"/>
        <v>3.3699999999999966</v>
      </c>
      <c r="D21" s="306">
        <f t="shared" ca="1" si="8"/>
        <v>8.4916090459291009</v>
      </c>
      <c r="E21" s="307">
        <f t="shared" ca="1" si="9"/>
        <v>29.033587754613158</v>
      </c>
      <c r="F21" s="304">
        <f t="shared" ca="1" si="10"/>
        <v>30.249903174947985</v>
      </c>
      <c r="G21" s="306">
        <f t="shared" ca="1" si="11"/>
        <v>38.862817930487672</v>
      </c>
      <c r="H21" s="307">
        <f t="shared" ca="1" si="12"/>
        <v>177.67401250653904</v>
      </c>
      <c r="I21" s="304">
        <f t="shared" ca="1" si="13"/>
        <v>181.87460883166739</v>
      </c>
      <c r="J21" s="306">
        <f t="shared" ca="1" si="14"/>
        <v>107.03063169514164</v>
      </c>
      <c r="K21" s="307">
        <f t="shared" ca="1" si="15"/>
        <v>526.92868298589349</v>
      </c>
      <c r="L21" s="304">
        <f t="shared" ca="1" si="0"/>
        <v>537.68893709496137</v>
      </c>
      <c r="M21" s="306">
        <f t="shared" ca="1" si="16"/>
        <v>1.3554567407038072</v>
      </c>
      <c r="N21" s="304">
        <f t="shared" ca="1" si="17"/>
        <v>77.661950554886531</v>
      </c>
      <c r="P21" s="310">
        <f t="shared" ca="1" si="18"/>
        <v>3</v>
      </c>
      <c r="Q21" s="304">
        <f t="shared" ca="1" si="19"/>
        <v>199.22413793103479</v>
      </c>
      <c r="R21" s="306">
        <f t="shared" ca="1" si="20"/>
        <v>0.10573816924730574</v>
      </c>
      <c r="S21" s="307">
        <f t="shared" ca="1" si="21"/>
        <v>3.0370288310141462</v>
      </c>
      <c r="T21" s="304">
        <f t="shared" ca="1" si="1"/>
        <v>29.793252832248776</v>
      </c>
      <c r="U21" s="311">
        <f t="shared" ca="1" si="2"/>
        <v>0</v>
      </c>
      <c r="V21" s="306">
        <f t="shared" ca="1" si="3"/>
        <v>1.1621082107190499</v>
      </c>
      <c r="W21" s="304">
        <f t="shared" ca="1" si="4"/>
        <v>78.716102688093045</v>
      </c>
      <c r="Y21" s="314" t="str">
        <f t="shared" ca="1" si="22"/>
        <v/>
      </c>
      <c r="Z21" s="315" t="str">
        <f t="shared" ca="1" si="23"/>
        <v/>
      </c>
      <c r="AA21" s="316" t="str">
        <f t="shared" ca="1" si="24"/>
        <v/>
      </c>
      <c r="AC21" s="310" t="e">
        <f t="shared" ca="1" si="25"/>
        <v>#N/A</v>
      </c>
      <c r="AD21" s="323" t="e">
        <f t="shared" ca="1" si="26"/>
        <v>#N/A</v>
      </c>
      <c r="AE21" s="324">
        <f t="shared" ca="1" si="5"/>
        <v>526.92868298589349</v>
      </c>
      <c r="AG21" s="306">
        <f t="shared" ca="1" si="27"/>
        <v>30.177263708288919</v>
      </c>
      <c r="AH21" s="304">
        <f t="shared" ca="1" si="28"/>
        <v>39.760932255660691</v>
      </c>
    </row>
    <row r="22" spans="1:34" x14ac:dyDescent="0.2">
      <c r="A22" s="347">
        <f t="shared" ca="1" si="6"/>
        <v>0.01</v>
      </c>
      <c r="B22" s="304">
        <f t="shared" ca="1" si="7"/>
        <v>3.3799999999999963</v>
      </c>
      <c r="D22" s="306">
        <f t="shared" ca="1" si="8"/>
        <v>8.420966498186484</v>
      </c>
      <c r="E22" s="307">
        <f t="shared" ca="1" si="9"/>
        <v>28.689187310402957</v>
      </c>
      <c r="F22" s="304">
        <f t="shared" ca="1" si="10"/>
        <v>29.899534198628668</v>
      </c>
      <c r="G22" s="306">
        <f t="shared" ca="1" si="11"/>
        <v>38.947027595469535</v>
      </c>
      <c r="H22" s="307">
        <f t="shared" ca="1" si="12"/>
        <v>177.96090437964307</v>
      </c>
      <c r="I22" s="304">
        <f t="shared" ca="1" si="13"/>
        <v>182.17286967642227</v>
      </c>
      <c r="J22" s="306">
        <f t="shared" ca="1" si="14"/>
        <v>107.41968092277142</v>
      </c>
      <c r="K22" s="307">
        <f t="shared" ca="1" si="15"/>
        <v>528.70685757032436</v>
      </c>
      <c r="L22" s="304">
        <f t="shared" ca="1" si="0"/>
        <v>539.50897035307696</v>
      </c>
      <c r="M22" s="306">
        <f t="shared" ca="1" si="16"/>
        <v>1.3553416745691329</v>
      </c>
      <c r="N22" s="304">
        <f t="shared" ca="1" si="17"/>
        <v>77.655357751004814</v>
      </c>
      <c r="P22" s="310">
        <f t="shared" ca="1" si="18"/>
        <v>3</v>
      </c>
      <c r="Q22" s="304">
        <f t="shared" ca="1" si="19"/>
        <v>198.36206896551755</v>
      </c>
      <c r="R22" s="306">
        <f t="shared" ca="1" si="20"/>
        <v>0.10528062632542211</v>
      </c>
      <c r="S22" s="307">
        <f t="shared" ca="1" si="21"/>
        <v>3.0359760247508918</v>
      </c>
      <c r="T22" s="304">
        <f t="shared" ca="1" si="1"/>
        <v>29.782924802806249</v>
      </c>
      <c r="U22" s="311">
        <f t="shared" ca="1" si="2"/>
        <v>0</v>
      </c>
      <c r="V22" s="306">
        <f t="shared" ca="1" si="3"/>
        <v>1.1619014419644453</v>
      </c>
      <c r="W22" s="304">
        <f t="shared" ca="1" si="4"/>
        <v>78.960439922301802</v>
      </c>
      <c r="Y22" s="314" t="str">
        <f t="shared" ca="1" si="22"/>
        <v/>
      </c>
      <c r="Z22" s="315" t="str">
        <f t="shared" ca="1" si="23"/>
        <v/>
      </c>
      <c r="AA22" s="316" t="str">
        <f t="shared" ca="1" si="24"/>
        <v/>
      </c>
      <c r="AC22" s="310" t="e">
        <f t="shared" ca="1" si="25"/>
        <v>#N/A</v>
      </c>
      <c r="AD22" s="323" t="e">
        <f t="shared" ca="1" si="26"/>
        <v>#N/A</v>
      </c>
      <c r="AE22" s="324">
        <f t="shared" ca="1" si="5"/>
        <v>528.70685757032436</v>
      </c>
      <c r="AG22" s="306">
        <f t="shared" ca="1" si="27"/>
        <v>29.825963875086138</v>
      </c>
      <c r="AH22" s="304">
        <f t="shared" ca="1" si="28"/>
        <v>39.409391016927316</v>
      </c>
    </row>
    <row r="23" spans="1:34" x14ac:dyDescent="0.2">
      <c r="A23" s="347">
        <f t="shared" ca="1" si="6"/>
        <v>0.01</v>
      </c>
      <c r="B23" s="304">
        <f t="shared" ca="1" si="7"/>
        <v>3.3899999999999961</v>
      </c>
      <c r="D23" s="306">
        <f t="shared" ca="1" si="8"/>
        <v>8.3503670709779474</v>
      </c>
      <c r="E23" s="307">
        <f t="shared" ca="1" si="9"/>
        <v>28.345386112856765</v>
      </c>
      <c r="F23" s="304">
        <f t="shared" ca="1" si="10"/>
        <v>29.549780779339226</v>
      </c>
      <c r="G23" s="306">
        <f t="shared" ca="1" si="11"/>
        <v>39.030531266179317</v>
      </c>
      <c r="H23" s="307">
        <f t="shared" ca="1" si="12"/>
        <v>178.24435824077165</v>
      </c>
      <c r="I23" s="304">
        <f t="shared" ca="1" si="13"/>
        <v>182.46762347217859</v>
      </c>
      <c r="J23" s="306">
        <f t="shared" ca="1" si="14"/>
        <v>107.80956871707967</v>
      </c>
      <c r="K23" s="307">
        <f t="shared" ca="1" si="15"/>
        <v>530.48788388342643</v>
      </c>
      <c r="L23" s="304">
        <f t="shared" ca="1" si="0"/>
        <v>541.33196659173791</v>
      </c>
      <c r="M23" s="306">
        <f t="shared" ca="1" si="16"/>
        <v>1.3552267338761077</v>
      </c>
      <c r="N23" s="304">
        <f t="shared" ca="1" si="17"/>
        <v>77.648772134400161</v>
      </c>
      <c r="P23" s="310">
        <f t="shared" ca="1" si="18"/>
        <v>3</v>
      </c>
      <c r="Q23" s="304">
        <f t="shared" ca="1" si="19"/>
        <v>197.50000000000034</v>
      </c>
      <c r="R23" s="306">
        <f t="shared" ca="1" si="20"/>
        <v>0.10482308340353851</v>
      </c>
      <c r="S23" s="307">
        <f t="shared" ca="1" si="21"/>
        <v>3.0349277939168564</v>
      </c>
      <c r="T23" s="304">
        <f t="shared" ca="1" si="1"/>
        <v>29.772641658324364</v>
      </c>
      <c r="U23" s="311">
        <f t="shared" ca="1" si="2"/>
        <v>0</v>
      </c>
      <c r="V23" s="306">
        <f t="shared" ca="1" si="3"/>
        <v>1.1616943775099147</v>
      </c>
      <c r="W23" s="304">
        <f t="shared" ca="1" si="4"/>
        <v>79.202043713885203</v>
      </c>
      <c r="Y23" s="314" t="str">
        <f t="shared" ca="1" si="22"/>
        <v/>
      </c>
      <c r="Z23" s="315" t="str">
        <f t="shared" ca="1" si="23"/>
        <v/>
      </c>
      <c r="AA23" s="316" t="str">
        <f t="shared" ca="1" si="24"/>
        <v/>
      </c>
      <c r="AC23" s="310" t="e">
        <f t="shared" ca="1" si="25"/>
        <v>#N/A</v>
      </c>
      <c r="AD23" s="323" t="e">
        <f t="shared" ca="1" si="26"/>
        <v>#N/A</v>
      </c>
      <c r="AE23" s="324">
        <f t="shared" ca="1" si="5"/>
        <v>530.48788388342643</v>
      </c>
      <c r="AG23" s="306">
        <f t="shared" ca="1" si="27"/>
        <v>29.475259043332748</v>
      </c>
      <c r="AH23" s="304">
        <f t="shared" ca="1" si="28"/>
        <v>39.058444920929148</v>
      </c>
    </row>
    <row r="24" spans="1:34" x14ac:dyDescent="0.2">
      <c r="A24" s="347">
        <f t="shared" ca="1" si="6"/>
        <v>0.01</v>
      </c>
      <c r="B24" s="304">
        <f t="shared" ca="1" si="7"/>
        <v>3.3999999999999959</v>
      </c>
      <c r="D24" s="306">
        <f t="shared" ca="1" si="8"/>
        <v>8.2798122542733505</v>
      </c>
      <c r="E24" s="307">
        <f t="shared" ca="1" si="9"/>
        <v>28.002188913141026</v>
      </c>
      <c r="F24" s="304">
        <f t="shared" ca="1" si="10"/>
        <v>29.200648535490668</v>
      </c>
      <c r="G24" s="306">
        <f t="shared" ca="1" si="11"/>
        <v>39.11332938872205</v>
      </c>
      <c r="H24" s="307">
        <f t="shared" ca="1" si="12"/>
        <v>178.52438012990305</v>
      </c>
      <c r="I24" s="304">
        <f t="shared" ca="1" si="13"/>
        <v>182.75887621846658</v>
      </c>
      <c r="J24" s="306">
        <f t="shared" ca="1" si="14"/>
        <v>108.20028802035418</v>
      </c>
      <c r="K24" s="307">
        <f t="shared" ca="1" si="15"/>
        <v>532.27172757527978</v>
      </c>
      <c r="L24" s="304">
        <f t="shared" ca="1" si="0"/>
        <v>543.15789076810847</v>
      </c>
      <c r="M24" s="306">
        <f t="shared" ca="1" si="16"/>
        <v>1.355111916087925</v>
      </c>
      <c r="N24" s="304">
        <f t="shared" ca="1" si="17"/>
        <v>77.642193559724262</v>
      </c>
      <c r="P24" s="310">
        <f t="shared" ca="1" si="18"/>
        <v>3</v>
      </c>
      <c r="Q24" s="304">
        <f t="shared" ca="1" si="19"/>
        <v>196.63793103448313</v>
      </c>
      <c r="R24" s="306">
        <f t="shared" ca="1" si="20"/>
        <v>0.10436554048165489</v>
      </c>
      <c r="S24" s="307">
        <f t="shared" ca="1" si="21"/>
        <v>3.0338841385120396</v>
      </c>
      <c r="T24" s="304">
        <f t="shared" ca="1" si="1"/>
        <v>29.762403398803109</v>
      </c>
      <c r="U24" s="311">
        <f t="shared" ca="1" si="2"/>
        <v>0</v>
      </c>
      <c r="V24" s="306">
        <f t="shared" ca="1" si="3"/>
        <v>1.1614870215112121</v>
      </c>
      <c r="W24" s="304">
        <f t="shared" ca="1" si="4"/>
        <v>79.440906017630141</v>
      </c>
      <c r="Y24" s="314" t="str">
        <f t="shared" ca="1" si="22"/>
        <v/>
      </c>
      <c r="Z24" s="315" t="str">
        <f t="shared" ca="1" si="23"/>
        <v/>
      </c>
      <c r="AA24" s="316" t="str">
        <f t="shared" ca="1" si="24"/>
        <v/>
      </c>
      <c r="AC24" s="310" t="e">
        <f t="shared" ca="1" si="25"/>
        <v>#N/A</v>
      </c>
      <c r="AD24" s="323" t="e">
        <f t="shared" ca="1" si="26"/>
        <v>#N/A</v>
      </c>
      <c r="AE24" s="324">
        <f t="shared" ca="1" si="5"/>
        <v>532.27172757527978</v>
      </c>
      <c r="AG24" s="306">
        <f t="shared" ca="1" si="27"/>
        <v>29.125154162149137</v>
      </c>
      <c r="AH24" s="304">
        <f t="shared" ca="1" si="28"/>
        <v>38.708098911843763</v>
      </c>
    </row>
    <row r="25" spans="1:34" x14ac:dyDescent="0.2">
      <c r="A25" s="347">
        <f t="shared" ca="1" si="6"/>
        <v>0.01</v>
      </c>
      <c r="B25" s="304">
        <f t="shared" ca="1" si="7"/>
        <v>3.4099999999999957</v>
      </c>
      <c r="D25" s="306">
        <f t="shared" ca="1" si="8"/>
        <v>8.2093035169790092</v>
      </c>
      <c r="E25" s="307">
        <f t="shared" ca="1" si="9"/>
        <v>27.659600378470728</v>
      </c>
      <c r="F25" s="304">
        <f t="shared" ca="1" si="10"/>
        <v>28.852143028388411</v>
      </c>
      <c r="G25" s="306">
        <f t="shared" ca="1" si="11"/>
        <v>39.195422423891841</v>
      </c>
      <c r="H25" s="307">
        <f t="shared" ca="1" si="12"/>
        <v>178.80097613368775</v>
      </c>
      <c r="I25" s="304">
        <f t="shared" ca="1" si="13"/>
        <v>183.04663396344358</v>
      </c>
      <c r="J25" s="306">
        <f t="shared" ca="1" si="14"/>
        <v>108.59183177941725</v>
      </c>
      <c r="K25" s="307">
        <f t="shared" ca="1" si="15"/>
        <v>534.05835435659776</v>
      </c>
      <c r="L25" s="304">
        <f t="shared" ca="1" si="0"/>
        <v>544.9867078996391</v>
      </c>
      <c r="M25" s="306">
        <f t="shared" ca="1" si="16"/>
        <v>1.354997218689397</v>
      </c>
      <c r="N25" s="304">
        <f t="shared" ca="1" si="17"/>
        <v>77.635621882867483</v>
      </c>
      <c r="P25" s="310">
        <f t="shared" ca="1" si="18"/>
        <v>3</v>
      </c>
      <c r="Q25" s="304">
        <f t="shared" ca="1" si="19"/>
        <v>195.77586206896589</v>
      </c>
      <c r="R25" s="306">
        <f t="shared" ca="1" si="20"/>
        <v>0.10390799755977127</v>
      </c>
      <c r="S25" s="307">
        <f t="shared" ca="1" si="21"/>
        <v>3.0328450585364419</v>
      </c>
      <c r="T25" s="304">
        <f t="shared" ca="1" si="1"/>
        <v>29.752210024242498</v>
      </c>
      <c r="U25" s="311">
        <f t="shared" ca="1" si="2"/>
        <v>0</v>
      </c>
      <c r="V25" s="306">
        <f t="shared" ca="1" si="3"/>
        <v>1.1612793781144553</v>
      </c>
      <c r="W25" s="304">
        <f t="shared" ca="1" si="4"/>
        <v>79.677019052730415</v>
      </c>
      <c r="Y25" s="314" t="str">
        <f t="shared" ca="1" si="22"/>
        <v/>
      </c>
      <c r="Z25" s="315" t="str">
        <f t="shared" ca="1" si="23"/>
        <v/>
      </c>
      <c r="AA25" s="316" t="str">
        <f t="shared" ca="1" si="24"/>
        <v/>
      </c>
      <c r="AC25" s="310" t="e">
        <f t="shared" ca="1" si="25"/>
        <v>#N/A</v>
      </c>
      <c r="AD25" s="323" t="e">
        <f t="shared" ca="1" si="26"/>
        <v>#N/A</v>
      </c>
      <c r="AE25" s="324">
        <f t="shared" ca="1" si="5"/>
        <v>534.05835435659776</v>
      </c>
      <c r="AG25" s="306">
        <f t="shared" ca="1" si="27"/>
        <v>28.775654094263494</v>
      </c>
      <c r="AH25" s="304">
        <f t="shared" ca="1" si="28"/>
        <v>38.358357847491042</v>
      </c>
    </row>
    <row r="26" spans="1:34" x14ac:dyDescent="0.2">
      <c r="A26" s="347">
        <f t="shared" ca="1" si="6"/>
        <v>0.01</v>
      </c>
      <c r="B26" s="304">
        <f t="shared" ca="1" si="7"/>
        <v>3.4199999999999955</v>
      </c>
      <c r="D26" s="306">
        <f t="shared" ca="1" si="8"/>
        <v>8.1388423070250742</v>
      </c>
      <c r="E26" s="307">
        <f t="shared" ca="1" si="9"/>
        <v>27.317625092444246</v>
      </c>
      <c r="F26" s="304">
        <f t="shared" ca="1" si="10"/>
        <v>28.504269764194287</v>
      </c>
      <c r="G26" s="306">
        <f t="shared" ca="1" si="11"/>
        <v>39.276810846962093</v>
      </c>
      <c r="H26" s="307">
        <f t="shared" ca="1" si="12"/>
        <v>179.0741523846122</v>
      </c>
      <c r="I26" s="304">
        <f t="shared" ca="1" si="13"/>
        <v>183.33090280303358</v>
      </c>
      <c r="J26" s="306">
        <f t="shared" ca="1" si="14"/>
        <v>108.98419294577151</v>
      </c>
      <c r="K26" s="307">
        <f t="shared" ca="1" si="15"/>
        <v>535.84772999918926</v>
      </c>
      <c r="L26" s="304">
        <f t="shared" ca="1" si="0"/>
        <v>546.81838306454654</v>
      </c>
      <c r="M26" s="306">
        <f t="shared" ca="1" si="16"/>
        <v>1.3548826391865554</v>
      </c>
      <c r="N26" s="304">
        <f t="shared" ca="1" si="17"/>
        <v>77.629056960935955</v>
      </c>
      <c r="P26" s="310">
        <f t="shared" ca="1" si="18"/>
        <v>3</v>
      </c>
      <c r="Q26" s="304">
        <f t="shared" ca="1" si="19"/>
        <v>194.91379310344868</v>
      </c>
      <c r="R26" s="306">
        <f t="shared" ca="1" si="20"/>
        <v>0.10345045463788767</v>
      </c>
      <c r="S26" s="307">
        <f t="shared" ca="1" si="21"/>
        <v>3.0318105539900633</v>
      </c>
      <c r="T26" s="304">
        <f t="shared" ca="1" si="1"/>
        <v>29.742061534642524</v>
      </c>
      <c r="U26" s="311">
        <f t="shared" ca="1" si="2"/>
        <v>0</v>
      </c>
      <c r="V26" s="306">
        <f t="shared" ca="1" si="3"/>
        <v>1.1610714514560698</v>
      </c>
      <c r="W26" s="304">
        <f t="shared" ca="1" si="4"/>
        <v>79.910375301058096</v>
      </c>
      <c r="Y26" s="314" t="str">
        <f t="shared" ca="1" si="22"/>
        <v/>
      </c>
      <c r="Z26" s="315" t="str">
        <f t="shared" ca="1" si="23"/>
        <v/>
      </c>
      <c r="AA26" s="316" t="str">
        <f t="shared" ca="1" si="24"/>
        <v/>
      </c>
      <c r="AC26" s="310" t="e">
        <f t="shared" ca="1" si="25"/>
        <v>#N/A</v>
      </c>
      <c r="AD26" s="323" t="e">
        <f t="shared" ca="1" si="26"/>
        <v>#N/A</v>
      </c>
      <c r="AE26" s="324">
        <f t="shared" ca="1" si="5"/>
        <v>535.84772999918926</v>
      </c>
      <c r="AG26" s="306">
        <f t="shared" ca="1" si="27"/>
        <v>28.426763616355949</v>
      </c>
      <c r="AH26" s="304">
        <f t="shared" ca="1" si="28"/>
        <v>38.009226499676586</v>
      </c>
    </row>
    <row r="27" spans="1:34" x14ac:dyDescent="0.2">
      <c r="A27" s="347">
        <f t="shared" ca="1" si="6"/>
        <v>0.01</v>
      </c>
      <c r="B27" s="304">
        <f t="shared" ca="1" si="7"/>
        <v>3.4299999999999953</v>
      </c>
      <c r="D27" s="306">
        <f t="shared" ca="1" si="8"/>
        <v>8.0684300514537668</v>
      </c>
      <c r="E27" s="307">
        <f t="shared" ca="1" si="9"/>
        <v>26.976267555385512</v>
      </c>
      <c r="F27" s="304">
        <f t="shared" ca="1" si="10"/>
        <v>28.157034196004151</v>
      </c>
      <c r="G27" s="306">
        <f t="shared" ca="1" si="11"/>
        <v>39.357495147476634</v>
      </c>
      <c r="H27" s="307">
        <f t="shared" ca="1" si="12"/>
        <v>179.34391506016607</v>
      </c>
      <c r="I27" s="304">
        <f t="shared" ca="1" si="13"/>
        <v>183.61168888007023</v>
      </c>
      <c r="J27" s="306">
        <f t="shared" ca="1" si="14"/>
        <v>109.3773644757437</v>
      </c>
      <c r="K27" s="307">
        <f t="shared" ca="1" si="15"/>
        <v>537.63982033641309</v>
      </c>
      <c r="L27" s="304">
        <f t="shared" ca="1" si="0"/>
        <v>548.6528814022854</v>
      </c>
      <c r="M27" s="306">
        <f t="shared" ca="1" si="16"/>
        <v>1.3547681751062608</v>
      </c>
      <c r="N27" s="304">
        <f t="shared" ca="1" si="17"/>
        <v>77.622498652229226</v>
      </c>
      <c r="P27" s="310">
        <f t="shared" ca="1" si="18"/>
        <v>3</v>
      </c>
      <c r="Q27" s="304">
        <f t="shared" ca="1" si="19"/>
        <v>194.05172413793144</v>
      </c>
      <c r="R27" s="306">
        <f t="shared" ca="1" si="20"/>
        <v>0.10299291171600404</v>
      </c>
      <c r="S27" s="307">
        <f t="shared" ca="1" si="21"/>
        <v>3.0307806248729032</v>
      </c>
      <c r="T27" s="304">
        <f t="shared" ca="1" si="1"/>
        <v>29.731957930003183</v>
      </c>
      <c r="U27" s="311">
        <f t="shared" ca="1" si="2"/>
        <v>0</v>
      </c>
      <c r="V27" s="306">
        <f t="shared" ca="1" si="3"/>
        <v>1.1608632456627321</v>
      </c>
      <c r="W27" s="304">
        <f t="shared" ca="1" si="4"/>
        <v>80.140967505421273</v>
      </c>
      <c r="Y27" s="314" t="str">
        <f t="shared" ca="1" si="22"/>
        <v/>
      </c>
      <c r="Z27" s="315" t="str">
        <f t="shared" ca="1" si="23"/>
        <v/>
      </c>
      <c r="AA27" s="316" t="str">
        <f t="shared" ca="1" si="24"/>
        <v/>
      </c>
      <c r="AC27" s="310" t="e">
        <f t="shared" ca="1" si="25"/>
        <v>#N/A</v>
      </c>
      <c r="AD27" s="323" t="e">
        <f t="shared" ca="1" si="26"/>
        <v>#N/A</v>
      </c>
      <c r="AE27" s="324">
        <f t="shared" ca="1" si="5"/>
        <v>537.63982033641309</v>
      </c>
      <c r="AG27" s="306">
        <f t="shared" ca="1" si="27"/>
        <v>28.078487419410077</v>
      </c>
      <c r="AH27" s="304">
        <f t="shared" ca="1" si="28"/>
        <v>37.660709554542535</v>
      </c>
    </row>
    <row r="28" spans="1:34" x14ac:dyDescent="0.2">
      <c r="A28" s="347">
        <f t="shared" ca="1" si="6"/>
        <v>0.01</v>
      </c>
      <c r="B28" s="304">
        <f t="shared" ca="1" si="7"/>
        <v>3.4399999999999951</v>
      </c>
      <c r="D28" s="306">
        <f t="shared" ca="1" si="8"/>
        <v>7.9980681565084772</v>
      </c>
      <c r="E28" s="307">
        <f t="shared" ca="1" si="9"/>
        <v>26.635532184693425</v>
      </c>
      <c r="F28" s="304">
        <f t="shared" ca="1" si="10"/>
        <v>27.810441726049483</v>
      </c>
      <c r="G28" s="306">
        <f t="shared" ca="1" si="11"/>
        <v>39.437475829041716</v>
      </c>
      <c r="H28" s="307">
        <f t="shared" ca="1" si="12"/>
        <v>179.610270382013</v>
      </c>
      <c r="I28" s="304">
        <f t="shared" ca="1" si="13"/>
        <v>183.88899838344344</v>
      </c>
      <c r="J28" s="306">
        <f t="shared" ca="1" si="14"/>
        <v>109.77133933062629</v>
      </c>
      <c r="K28" s="307">
        <f t="shared" ca="1" si="15"/>
        <v>539.43459126362404</v>
      </c>
      <c r="L28" s="304">
        <f t="shared" ca="1" si="0"/>
        <v>550.49016811401145</v>
      </c>
      <c r="M28" s="306">
        <f t="shared" ca="1" si="16"/>
        <v>1.3546538239958164</v>
      </c>
      <c r="N28" s="304">
        <f t="shared" ca="1" si="17"/>
        <v>77.615946816218127</v>
      </c>
      <c r="P28" s="310">
        <f t="shared" ca="1" si="18"/>
        <v>3</v>
      </c>
      <c r="Q28" s="304">
        <f t="shared" ca="1" si="19"/>
        <v>193.18965517241423</v>
      </c>
      <c r="R28" s="306">
        <f t="shared" ca="1" si="20"/>
        <v>0.10253536879412044</v>
      </c>
      <c r="S28" s="307">
        <f t="shared" ca="1" si="21"/>
        <v>3.0297552711849622</v>
      </c>
      <c r="T28" s="304">
        <f t="shared" ca="1" si="1"/>
        <v>29.72189921032448</v>
      </c>
      <c r="U28" s="311">
        <f t="shared" ca="1" si="2"/>
        <v>0</v>
      </c>
      <c r="V28" s="306">
        <f t="shared" ca="1" si="3"/>
        <v>1.1606547648513159</v>
      </c>
      <c r="W28" s="304">
        <f t="shared" ca="1" si="4"/>
        <v>80.368788667807749</v>
      </c>
      <c r="Y28" s="314" t="str">
        <f t="shared" ca="1" si="22"/>
        <v/>
      </c>
      <c r="Z28" s="315" t="str">
        <f t="shared" ca="1" si="23"/>
        <v/>
      </c>
      <c r="AA28" s="316" t="str">
        <f t="shared" ca="1" si="24"/>
        <v/>
      </c>
      <c r="AC28" s="310" t="e">
        <f t="shared" ca="1" si="25"/>
        <v>#N/A</v>
      </c>
      <c r="AD28" s="323" t="e">
        <f t="shared" ca="1" si="26"/>
        <v>#N/A</v>
      </c>
      <c r="AE28" s="324">
        <f t="shared" ca="1" si="5"/>
        <v>539.43459126362404</v>
      </c>
      <c r="AG28" s="306">
        <f t="shared" ca="1" si="27"/>
        <v>27.730830109071643</v>
      </c>
      <c r="AH28" s="304">
        <f t="shared" ca="1" si="28"/>
        <v>37.31281161292565</v>
      </c>
    </row>
    <row r="29" spans="1:34" x14ac:dyDescent="0.2">
      <c r="A29" s="347">
        <f t="shared" ca="1" si="6"/>
        <v>0.01</v>
      </c>
      <c r="B29" s="304">
        <f t="shared" ca="1" si="7"/>
        <v>3.4499999999999948</v>
      </c>
      <c r="D29" s="306">
        <f t="shared" ca="1" si="8"/>
        <v>7.9277580077238659</v>
      </c>
      <c r="E29" s="307">
        <f t="shared" ca="1" si="9"/>
        <v>26.295423315198299</v>
      </c>
      <c r="F29" s="304">
        <f t="shared" ca="1" si="10"/>
        <v>27.464497708032169</v>
      </c>
      <c r="G29" s="306">
        <f t="shared" ca="1" si="11"/>
        <v>39.516753409118955</v>
      </c>
      <c r="H29" s="307">
        <f t="shared" ca="1" si="12"/>
        <v>179.87322461516499</v>
      </c>
      <c r="I29" s="304">
        <f t="shared" ca="1" si="13"/>
        <v>184.16283754724978</v>
      </c>
      <c r="J29" s="306">
        <f t="shared" ca="1" si="14"/>
        <v>110.1661104768171</v>
      </c>
      <c r="K29" s="307">
        <f t="shared" ca="1" si="15"/>
        <v>541.23200873860992</v>
      </c>
      <c r="L29" s="304">
        <f t="shared" ca="1" si="0"/>
        <v>552.33020846303612</v>
      </c>
      <c r="M29" s="306">
        <f t="shared" ca="1" si="16"/>
        <v>1.3545395834225902</v>
      </c>
      <c r="N29" s="304">
        <f t="shared" ca="1" si="17"/>
        <v>77.609401313523108</v>
      </c>
      <c r="P29" s="310">
        <f t="shared" ca="1" si="18"/>
        <v>3</v>
      </c>
      <c r="Q29" s="304">
        <f t="shared" ca="1" si="19"/>
        <v>192.327586206897</v>
      </c>
      <c r="R29" s="306">
        <f t="shared" ca="1" si="20"/>
        <v>0.10207782587223681</v>
      </c>
      <c r="S29" s="307">
        <f t="shared" ca="1" si="21"/>
        <v>3.0287344929262399</v>
      </c>
      <c r="T29" s="304">
        <f t="shared" ca="1" si="1"/>
        <v>29.711885375606414</v>
      </c>
      <c r="U29" s="311">
        <f t="shared" ca="1" si="2"/>
        <v>0</v>
      </c>
      <c r="V29" s="306">
        <f t="shared" ca="1" si="3"/>
        <v>1.1604460131288385</v>
      </c>
      <c r="W29" s="304">
        <f t="shared" ca="1" si="4"/>
        <v>80.593832047616942</v>
      </c>
      <c r="Y29" s="314" t="str">
        <f t="shared" ca="1" si="22"/>
        <v/>
      </c>
      <c r="Z29" s="315" t="str">
        <f t="shared" ca="1" si="23"/>
        <v/>
      </c>
      <c r="AA29" s="316" t="str">
        <f t="shared" ca="1" si="24"/>
        <v/>
      </c>
      <c r="AC29" s="310" t="e">
        <f t="shared" ca="1" si="25"/>
        <v>#N/A</v>
      </c>
      <c r="AD29" s="323" t="e">
        <f t="shared" ca="1" si="26"/>
        <v>#N/A</v>
      </c>
      <c r="AE29" s="324">
        <f t="shared" ca="1" si="5"/>
        <v>541.23200873860992</v>
      </c>
      <c r="AG29" s="306">
        <f t="shared" ca="1" si="27"/>
        <v>27.383796206014566</v>
      </c>
      <c r="AH29" s="304">
        <f t="shared" ca="1" si="28"/>
        <v>36.965537190722593</v>
      </c>
    </row>
    <row r="30" spans="1:34" x14ac:dyDescent="0.2">
      <c r="A30" s="347">
        <f t="shared" ca="1" si="6"/>
        <v>0.01</v>
      </c>
      <c r="B30" s="304">
        <f t="shared" ca="1" si="7"/>
        <v>3.4599999999999946</v>
      </c>
      <c r="D30" s="306">
        <f t="shared" ca="1" si="8"/>
        <v>7.8575009700167202</v>
      </c>
      <c r="E30" s="307">
        <f t="shared" ca="1" si="9"/>
        <v>25.955945199525068</v>
      </c>
      <c r="F30" s="304">
        <f t="shared" ca="1" si="10"/>
        <v>27.11920744960225</v>
      </c>
      <c r="G30" s="306">
        <f t="shared" ca="1" si="11"/>
        <v>39.595328418819122</v>
      </c>
      <c r="H30" s="307">
        <f t="shared" ca="1" si="12"/>
        <v>180.13278406716023</v>
      </c>
      <c r="I30" s="304">
        <f t="shared" ca="1" si="13"/>
        <v>184.43321264994631</v>
      </c>
      <c r="J30" s="306">
        <f t="shared" ca="1" si="14"/>
        <v>110.56167088595679</v>
      </c>
      <c r="K30" s="307">
        <f t="shared" ca="1" si="15"/>
        <v>543.03203878202157</v>
      </c>
      <c r="L30" s="304">
        <f t="shared" ca="1" si="0"/>
        <v>554.17296777527281</v>
      </c>
      <c r="M30" s="306">
        <f t="shared" ca="1" si="16"/>
        <v>1.3544254509736438</v>
      </c>
      <c r="N30" s="304">
        <f t="shared" ca="1" si="17"/>
        <v>77.602862005892987</v>
      </c>
      <c r="P30" s="310">
        <f t="shared" ca="1" si="18"/>
        <v>3</v>
      </c>
      <c r="Q30" s="304">
        <f t="shared" ca="1" si="19"/>
        <v>191.46551724137979</v>
      </c>
      <c r="R30" s="306">
        <f t="shared" ca="1" si="20"/>
        <v>0.10162028295035321</v>
      </c>
      <c r="S30" s="307">
        <f t="shared" ca="1" si="21"/>
        <v>3.0277182900967365</v>
      </c>
      <c r="T30" s="304">
        <f t="shared" ca="1" si="1"/>
        <v>29.701916425848989</v>
      </c>
      <c r="U30" s="311">
        <f t="shared" ca="1" si="2"/>
        <v>0</v>
      </c>
      <c r="V30" s="306">
        <f t="shared" ca="1" si="3"/>
        <v>1.1602369945924091</v>
      </c>
      <c r="W30" s="304">
        <f t="shared" ca="1" si="4"/>
        <v>80.816091159878184</v>
      </c>
      <c r="Y30" s="314" t="str">
        <f t="shared" ca="1" si="22"/>
        <v/>
      </c>
      <c r="Z30" s="315" t="str">
        <f t="shared" ca="1" si="23"/>
        <v/>
      </c>
      <c r="AA30" s="316" t="str">
        <f t="shared" ca="1" si="24"/>
        <v/>
      </c>
      <c r="AC30" s="310" t="e">
        <f t="shared" ca="1" si="25"/>
        <v>#N/A</v>
      </c>
      <c r="AD30" s="323" t="e">
        <f t="shared" ca="1" si="26"/>
        <v>#N/A</v>
      </c>
      <c r="AE30" s="324">
        <f t="shared" ca="1" si="5"/>
        <v>543.03203878202157</v>
      </c>
      <c r="AG30" s="306">
        <f t="shared" ca="1" si="27"/>
        <v>27.037390146313527</v>
      </c>
      <c r="AH30" s="304">
        <f t="shared" ca="1" si="28"/>
        <v>36.618890719261884</v>
      </c>
    </row>
    <row r="31" spans="1:34" x14ac:dyDescent="0.2">
      <c r="A31" s="347">
        <f t="shared" ca="1" si="6"/>
        <v>0.01</v>
      </c>
      <c r="B31" s="304">
        <f t="shared" ca="1" si="7"/>
        <v>3.4699999999999944</v>
      </c>
      <c r="D31" s="306">
        <f t="shared" ca="1" si="8"/>
        <v>7.7872983877777422</v>
      </c>
      <c r="E31" s="307">
        <f t="shared" ca="1" si="9"/>
        <v>25.617102008463362</v>
      </c>
      <c r="F31" s="304">
        <f t="shared" ca="1" si="10"/>
        <v>26.77457621498991</v>
      </c>
      <c r="G31" s="306">
        <f t="shared" ca="1" si="11"/>
        <v>39.673201402696897</v>
      </c>
      <c r="H31" s="307">
        <f t="shared" ca="1" si="12"/>
        <v>180.38895508724485</v>
      </c>
      <c r="I31" s="304">
        <f t="shared" ca="1" si="13"/>
        <v>184.70013001350864</v>
      </c>
      <c r="J31" s="306">
        <f t="shared" ca="1" si="14"/>
        <v>110.95801353506437</v>
      </c>
      <c r="K31" s="307">
        <f t="shared" ca="1" si="15"/>
        <v>544.83464747779362</v>
      </c>
      <c r="L31" s="304">
        <f t="shared" ca="1" si="0"/>
        <v>556.01841143967454</v>
      </c>
      <c r="M31" s="306">
        <f t="shared" ca="1" si="16"/>
        <v>1.3543114242553662</v>
      </c>
      <c r="N31" s="304">
        <f t="shared" ca="1" si="17"/>
        <v>77.596328756183951</v>
      </c>
      <c r="P31" s="310">
        <f t="shared" ca="1" si="18"/>
        <v>3</v>
      </c>
      <c r="Q31" s="304">
        <f t="shared" ca="1" si="19"/>
        <v>190.60344827586255</v>
      </c>
      <c r="R31" s="306">
        <f t="shared" ca="1" si="20"/>
        <v>0.10116274002846957</v>
      </c>
      <c r="S31" s="307">
        <f t="shared" ca="1" si="21"/>
        <v>3.0267066626964518</v>
      </c>
      <c r="T31" s="304">
        <f t="shared" ca="1" si="1"/>
        <v>29.691992361052193</v>
      </c>
      <c r="U31" s="311">
        <f t="shared" ca="1" si="2"/>
        <v>0</v>
      </c>
      <c r="V31" s="306">
        <f t="shared" ca="1" si="3"/>
        <v>1.1600277133291765</v>
      </c>
      <c r="W31" s="304">
        <f t="shared" ca="1" si="4"/>
        <v>81.035559773457976</v>
      </c>
      <c r="Y31" s="314" t="str">
        <f t="shared" ca="1" si="22"/>
        <v/>
      </c>
      <c r="Z31" s="315" t="str">
        <f t="shared" ca="1" si="23"/>
        <v/>
      </c>
      <c r="AA31" s="316" t="str">
        <f t="shared" ca="1" si="24"/>
        <v/>
      </c>
      <c r="AC31" s="310" t="e">
        <f t="shared" ca="1" si="25"/>
        <v>#N/A</v>
      </c>
      <c r="AD31" s="323" t="e">
        <f t="shared" ca="1" si="26"/>
        <v>#N/A</v>
      </c>
      <c r="AE31" s="324">
        <f t="shared" ca="1" si="5"/>
        <v>544.83464747779362</v>
      </c>
      <c r="AG31" s="306">
        <f t="shared" ca="1" si="27"/>
        <v>26.691616281823634</v>
      </c>
      <c r="AH31" s="304">
        <f t="shared" ca="1" si="28"/>
        <v>36.272876545682927</v>
      </c>
    </row>
    <row r="32" spans="1:34" x14ac:dyDescent="0.2">
      <c r="A32" s="347">
        <f t="shared" ca="1" si="6"/>
        <v>0.01</v>
      </c>
      <c r="B32" s="304">
        <f t="shared" ca="1" si="7"/>
        <v>3.4799999999999942</v>
      </c>
      <c r="D32" s="306">
        <f t="shared" ca="1" si="8"/>
        <v>7.7171515849641823</v>
      </c>
      <c r="E32" s="307">
        <f t="shared" ca="1" si="9"/>
        <v>25.278897831343983</v>
      </c>
      <c r="F32" s="304">
        <f t="shared" ca="1" si="10"/>
        <v>26.430609227803334</v>
      </c>
      <c r="G32" s="306">
        <f t="shared" ca="1" si="11"/>
        <v>39.750372918546539</v>
      </c>
      <c r="H32" s="307">
        <f t="shared" ca="1" si="12"/>
        <v>180.6417440655583</v>
      </c>
      <c r="I32" s="304">
        <f t="shared" ca="1" si="13"/>
        <v>184.96359600259231</v>
      </c>
      <c r="J32" s="306">
        <f t="shared" ca="1" si="14"/>
        <v>111.35513140667058</v>
      </c>
      <c r="K32" s="307">
        <f t="shared" ca="1" si="15"/>
        <v>546.63980097355761</v>
      </c>
      <c r="L32" s="304">
        <f t="shared" ca="1" si="0"/>
        <v>557.86650490866327</v>
      </c>
      <c r="M32" s="306">
        <f t="shared" ca="1" si="16"/>
        <v>1.354197500893116</v>
      </c>
      <c r="N32" s="304">
        <f t="shared" ca="1" si="17"/>
        <v>77.589801428339072</v>
      </c>
      <c r="P32" s="310">
        <f t="shared" ca="1" si="18"/>
        <v>3</v>
      </c>
      <c r="Q32" s="304">
        <f t="shared" ca="1" si="19"/>
        <v>189.74137931034534</v>
      </c>
      <c r="R32" s="306">
        <f t="shared" ca="1" si="20"/>
        <v>0.10070519710658597</v>
      </c>
      <c r="S32" s="307">
        <f t="shared" ca="1" si="21"/>
        <v>3.0256996107253862</v>
      </c>
      <c r="T32" s="304">
        <f t="shared" ca="1" si="1"/>
        <v>29.682113181216039</v>
      </c>
      <c r="U32" s="311">
        <f t="shared" ca="1" si="2"/>
        <v>0</v>
      </c>
      <c r="V32" s="306">
        <f t="shared" ca="1" si="3"/>
        <v>1.1598181734162802</v>
      </c>
      <c r="W32" s="304">
        <f t="shared" ca="1" si="4"/>
        <v>81.2522319092554</v>
      </c>
      <c r="Y32" s="314" t="str">
        <f t="shared" ca="1" si="22"/>
        <v/>
      </c>
      <c r="Z32" s="315" t="str">
        <f t="shared" ca="1" si="23"/>
        <v/>
      </c>
      <c r="AA32" s="316" t="str">
        <f t="shared" ca="1" si="24"/>
        <v/>
      </c>
      <c r="AC32" s="310" t="e">
        <f t="shared" ca="1" si="25"/>
        <v>#N/A</v>
      </c>
      <c r="AD32" s="323" t="e">
        <f t="shared" ca="1" si="26"/>
        <v>#N/A</v>
      </c>
      <c r="AE32" s="324">
        <f t="shared" ca="1" si="5"/>
        <v>546.63980097355761</v>
      </c>
      <c r="AG32" s="306">
        <f t="shared" ca="1" si="27"/>
        <v>26.34647888056648</v>
      </c>
      <c r="AH32" s="304">
        <f t="shared" ca="1" si="28"/>
        <v>35.927498933321424</v>
      </c>
    </row>
    <row r="33" spans="1:34" x14ac:dyDescent="0.2">
      <c r="A33" s="347">
        <f t="shared" ca="1" si="6"/>
        <v>0.01</v>
      </c>
      <c r="B33" s="304">
        <f t="shared" ca="1" si="7"/>
        <v>3.489999999999994</v>
      </c>
      <c r="D33" s="306">
        <f t="shared" ca="1" si="8"/>
        <v>7.6470618651932716</v>
      </c>
      <c r="E33" s="307">
        <f t="shared" ca="1" si="9"/>
        <v>24.941336676421891</v>
      </c>
      <c r="F33" s="304">
        <f t="shared" ca="1" si="10"/>
        <v>26.087311674005832</v>
      </c>
      <c r="G33" s="306">
        <f t="shared" ca="1" si="11"/>
        <v>39.826843537198471</v>
      </c>
      <c r="H33" s="307">
        <f t="shared" ca="1" si="12"/>
        <v>180.89115743232253</v>
      </c>
      <c r="I33" s="304">
        <f t="shared" ca="1" si="13"/>
        <v>185.22361702369864</v>
      </c>
      <c r="J33" s="306">
        <f t="shared" ca="1" si="14"/>
        <v>111.75301748894931</v>
      </c>
      <c r="K33" s="307">
        <f t="shared" ca="1" si="15"/>
        <v>548.44746548104706</v>
      </c>
      <c r="L33" s="304">
        <f t="shared" ca="1" si="0"/>
        <v>559.71721369855129</v>
      </c>
      <c r="M33" s="306">
        <f t="shared" ca="1" si="16"/>
        <v>1.3540836785308672</v>
      </c>
      <c r="N33" s="304">
        <f t="shared" ca="1" si="17"/>
        <v>77.583279887368008</v>
      </c>
      <c r="P33" s="310">
        <f t="shared" ca="1" si="18"/>
        <v>3</v>
      </c>
      <c r="Q33" s="304">
        <f t="shared" ca="1" si="19"/>
        <v>188.8793103448281</v>
      </c>
      <c r="R33" s="306">
        <f t="shared" ca="1" si="20"/>
        <v>0.10024765418470236</v>
      </c>
      <c r="S33" s="307">
        <f t="shared" ca="1" si="21"/>
        <v>3.0246971341835391</v>
      </c>
      <c r="T33" s="304">
        <f t="shared" ca="1" si="1"/>
        <v>29.672278886340521</v>
      </c>
      <c r="U33" s="311">
        <f t="shared" ca="1" si="2"/>
        <v>0</v>
      </c>
      <c r="V33" s="306">
        <f t="shared" ca="1" si="3"/>
        <v>1.1596083789208009</v>
      </c>
      <c r="W33" s="304">
        <f t="shared" ca="1" si="4"/>
        <v>81.466101838386678</v>
      </c>
      <c r="Y33" s="314" t="str">
        <f t="shared" ca="1" si="22"/>
        <v/>
      </c>
      <c r="Z33" s="315" t="str">
        <f t="shared" ca="1" si="23"/>
        <v/>
      </c>
      <c r="AA33" s="316" t="str">
        <f t="shared" ca="1" si="24"/>
        <v/>
      </c>
      <c r="AC33" s="310" t="e">
        <f t="shared" ca="1" si="25"/>
        <v>#N/A</v>
      </c>
      <c r="AD33" s="323" t="e">
        <f t="shared" ca="1" si="26"/>
        <v>#N/A</v>
      </c>
      <c r="AE33" s="324">
        <f t="shared" ca="1" si="5"/>
        <v>548.44746548104706</v>
      </c>
      <c r="AG33" s="306">
        <f t="shared" ca="1" si="27"/>
        <v>26.00198212712273</v>
      </c>
      <c r="AH33" s="304">
        <f t="shared" ca="1" si="28"/>
        <v>35.582762062101345</v>
      </c>
    </row>
    <row r="34" spans="1:34" x14ac:dyDescent="0.2">
      <c r="A34" s="347">
        <f t="shared" ca="1" si="6"/>
        <v>0.01</v>
      </c>
      <c r="B34" s="304">
        <f t="shared" ca="1" si="7"/>
        <v>3.4999999999999938</v>
      </c>
      <c r="D34" s="306">
        <f t="shared" ca="1" si="8"/>
        <v>7.5770305118365266</v>
      </c>
      <c r="E34" s="307">
        <f t="shared" ca="1" si="9"/>
        <v>24.604422471265345</v>
      </c>
      <c r="F34" s="304">
        <f t="shared" ca="1" si="10"/>
        <v>25.744688705086507</v>
      </c>
      <c r="G34" s="306">
        <f t="shared" ca="1" si="11"/>
        <v>39.902613842316839</v>
      </c>
      <c r="H34" s="307">
        <f t="shared" ca="1" si="12"/>
        <v>181.13720165703518</v>
      </c>
      <c r="I34" s="304">
        <f t="shared" ca="1" si="13"/>
        <v>185.48019952434407</v>
      </c>
      <c r="J34" s="306">
        <f t="shared" ca="1" si="14"/>
        <v>112.15166477584688</v>
      </c>
      <c r="K34" s="307">
        <f t="shared" ca="1" si="15"/>
        <v>550.2576072764939</v>
      </c>
      <c r="L34" s="304">
        <f t="shared" ca="1" si="0"/>
        <v>561.57050338995384</v>
      </c>
      <c r="M34" s="306">
        <f t="shared" ca="1" si="16"/>
        <v>1.3539699548308639</v>
      </c>
      <c r="N34" s="304">
        <f t="shared" ca="1" si="17"/>
        <v>77.576763999327213</v>
      </c>
      <c r="P34" s="310">
        <f t="shared" ca="1" si="18"/>
        <v>3</v>
      </c>
      <c r="Q34" s="304">
        <f t="shared" ca="1" si="19"/>
        <v>188.01724137931089</v>
      </c>
      <c r="R34" s="306">
        <f t="shared" ca="1" si="20"/>
        <v>9.979011126281874E-2</v>
      </c>
      <c r="S34" s="307">
        <f t="shared" ca="1" si="21"/>
        <v>3.0236992330709112</v>
      </c>
      <c r="T34" s="304">
        <f t="shared" ca="1" si="1"/>
        <v>29.662489476425641</v>
      </c>
      <c r="U34" s="311">
        <f t="shared" ca="1" si="2"/>
        <v>0</v>
      </c>
      <c r="V34" s="306">
        <f t="shared" ca="1" si="3"/>
        <v>1.1593983338997145</v>
      </c>
      <c r="W34" s="304">
        <f t="shared" ca="1" si="4"/>
        <v>81.677164080359447</v>
      </c>
      <c r="Y34" s="314" t="str">
        <f t="shared" ca="1" si="22"/>
        <v/>
      </c>
      <c r="Z34" s="315" t="str">
        <f t="shared" ca="1" si="23"/>
        <v/>
      </c>
      <c r="AA34" s="316" t="str">
        <f t="shared" ca="1" si="24"/>
        <v/>
      </c>
      <c r="AC34" s="310" t="e">
        <f t="shared" ca="1" si="25"/>
        <v>#N/A</v>
      </c>
      <c r="AD34" s="323" t="e">
        <f t="shared" ca="1" si="26"/>
        <v>#N/A</v>
      </c>
      <c r="AE34" s="324">
        <f t="shared" ca="1" si="5"/>
        <v>550.2576072764939</v>
      </c>
      <c r="AG34" s="306">
        <f t="shared" ca="1" si="27"/>
        <v>25.658130123031036</v>
      </c>
      <c r="AH34" s="304">
        <f t="shared" ca="1" si="28"/>
        <v>35.2386700289332</v>
      </c>
    </row>
    <row r="35" spans="1:34" x14ac:dyDescent="0.2">
      <c r="A35" s="347">
        <f t="shared" ca="1" si="6"/>
        <v>0.01</v>
      </c>
      <c r="B35" s="304">
        <f t="shared" ca="1" si="7"/>
        <v>3.5099999999999936</v>
      </c>
      <c r="D35" s="306">
        <f t="shared" ca="1" si="8"/>
        <v>7.507058788114791</v>
      </c>
      <c r="E35" s="307">
        <f t="shared" ca="1" si="9"/>
        <v>24.268159063151074</v>
      </c>
      <c r="F35" s="304">
        <f t="shared" ca="1" si="10"/>
        <v>25.402745441440242</v>
      </c>
      <c r="G35" s="306">
        <f t="shared" ca="1" si="11"/>
        <v>39.977684430197989</v>
      </c>
      <c r="H35" s="307">
        <f t="shared" ca="1" si="12"/>
        <v>181.3798832476667</v>
      </c>
      <c r="I35" s="304">
        <f t="shared" ca="1" si="13"/>
        <v>185.733349992234</v>
      </c>
      <c r="J35" s="306">
        <f t="shared" ca="1" si="14"/>
        <v>112.55106626720945</v>
      </c>
      <c r="K35" s="307">
        <f t="shared" ca="1" si="15"/>
        <v>552.07019270101739</v>
      </c>
      <c r="L35" s="304">
        <f t="shared" ca="1" si="0"/>
        <v>563.42633962819332</v>
      </c>
      <c r="M35" s="306">
        <f t="shared" ca="1" si="16"/>
        <v>1.3538563274732776</v>
      </c>
      <c r="N35" s="304">
        <f t="shared" ca="1" si="17"/>
        <v>77.570253631300289</v>
      </c>
      <c r="P35" s="310">
        <f t="shared" ca="1" si="18"/>
        <v>3</v>
      </c>
      <c r="Q35" s="304">
        <f t="shared" ca="1" si="19"/>
        <v>187.15517241379365</v>
      </c>
      <c r="R35" s="306">
        <f t="shared" ca="1" si="20"/>
        <v>9.9332568340935123E-2</v>
      </c>
      <c r="S35" s="307">
        <f t="shared" ca="1" si="21"/>
        <v>3.0227059073875018</v>
      </c>
      <c r="T35" s="304">
        <f t="shared" ca="1" si="1"/>
        <v>29.652744951471394</v>
      </c>
      <c r="U35" s="311">
        <f t="shared" ca="1" si="2"/>
        <v>0</v>
      </c>
      <c r="V35" s="306">
        <f t="shared" ca="1" si="3"/>
        <v>1.1591880423998433</v>
      </c>
      <c r="W35" s="304">
        <f t="shared" ca="1" si="4"/>
        <v>81.885413401236676</v>
      </c>
      <c r="Y35" s="314" t="str">
        <f t="shared" ca="1" si="22"/>
        <v/>
      </c>
      <c r="Z35" s="315" t="str">
        <f t="shared" ca="1" si="23"/>
        <v/>
      </c>
      <c r="AA35" s="316" t="str">
        <f t="shared" ca="1" si="24"/>
        <v/>
      </c>
      <c r="AC35" s="310" t="e">
        <f t="shared" ca="1" si="25"/>
        <v>#N/A</v>
      </c>
      <c r="AD35" s="323" t="e">
        <f t="shared" ca="1" si="26"/>
        <v>#N/A</v>
      </c>
      <c r="AE35" s="324">
        <f t="shared" ca="1" si="5"/>
        <v>552.07019270101739</v>
      </c>
      <c r="AG35" s="306">
        <f t="shared" ca="1" si="27"/>
        <v>25.314926887192883</v>
      </c>
      <c r="AH35" s="304">
        <f t="shared" ca="1" si="28"/>
        <v>34.89522684811832</v>
      </c>
    </row>
    <row r="36" spans="1:34" x14ac:dyDescent="0.2">
      <c r="A36" s="347">
        <f t="shared" ca="1" si="6"/>
        <v>0.01</v>
      </c>
      <c r="B36" s="304">
        <f t="shared" ca="1" si="7"/>
        <v>3.5199999999999934</v>
      </c>
      <c r="D36" s="306">
        <f t="shared" ca="1" si="8"/>
        <v>7.4371479371941751</v>
      </c>
      <c r="E36" s="307">
        <f t="shared" ca="1" si="9"/>
        <v>23.932550219465618</v>
      </c>
      <c r="F36" s="304">
        <f t="shared" ca="1" si="10"/>
        <v>25.061486975974816</v>
      </c>
      <c r="G36" s="306">
        <f t="shared" ca="1" si="11"/>
        <v>40.05205590956993</v>
      </c>
      <c r="H36" s="307">
        <f t="shared" ca="1" si="12"/>
        <v>181.61920874986134</v>
      </c>
      <c r="I36" s="304">
        <f t="shared" ca="1" si="13"/>
        <v>185.9830749544405</v>
      </c>
      <c r="J36" s="306">
        <f t="shared" ca="1" si="14"/>
        <v>112.95121496890829</v>
      </c>
      <c r="K36" s="307">
        <f t="shared" ca="1" si="15"/>
        <v>553.88518816100498</v>
      </c>
      <c r="L36" s="304">
        <f t="shared" ca="1" si="0"/>
        <v>565.28468812369613</v>
      </c>
      <c r="M36" s="306">
        <f t="shared" ca="1" si="16"/>
        <v>1.3537427941558733</v>
      </c>
      <c r="N36" s="304">
        <f t="shared" ca="1" si="17"/>
        <v>77.563748651378901</v>
      </c>
      <c r="P36" s="310">
        <f t="shared" ca="1" si="18"/>
        <v>3</v>
      </c>
      <c r="Q36" s="304">
        <f t="shared" ca="1" si="19"/>
        <v>186.29310344827644</v>
      </c>
      <c r="R36" s="306">
        <f t="shared" ca="1" si="20"/>
        <v>9.8875025419051507E-2</v>
      </c>
      <c r="S36" s="307">
        <f t="shared" ca="1" si="21"/>
        <v>3.0217171571333115</v>
      </c>
      <c r="T36" s="304">
        <f t="shared" ca="1" si="1"/>
        <v>29.643045311477788</v>
      </c>
      <c r="U36" s="311">
        <f t="shared" ca="1" si="2"/>
        <v>0</v>
      </c>
      <c r="V36" s="306">
        <f t="shared" ca="1" si="3"/>
        <v>1.158977508457812</v>
      </c>
      <c r="W36" s="304">
        <f t="shared" ca="1" si="4"/>
        <v>82.090844811791527</v>
      </c>
      <c r="Y36" s="314" t="str">
        <f t="shared" ca="1" si="22"/>
        <v/>
      </c>
      <c r="Z36" s="315" t="str">
        <f t="shared" ca="1" si="23"/>
        <v/>
      </c>
      <c r="AA36" s="316" t="str">
        <f t="shared" ca="1" si="24"/>
        <v/>
      </c>
      <c r="AC36" s="310" t="e">
        <f t="shared" ca="1" si="25"/>
        <v>#N/A</v>
      </c>
      <c r="AD36" s="323" t="e">
        <f t="shared" ca="1" si="26"/>
        <v>#N/A</v>
      </c>
      <c r="AE36" s="324">
        <f t="shared" ca="1" si="5"/>
        <v>553.88518816100498</v>
      </c>
      <c r="AG36" s="306">
        <f t="shared" ca="1" si="27"/>
        <v>24.972376356283753</v>
      </c>
      <c r="AH36" s="304">
        <f t="shared" ca="1" si="28"/>
        <v>34.552436451759384</v>
      </c>
    </row>
    <row r="37" spans="1:34" x14ac:dyDescent="0.2">
      <c r="A37" s="347">
        <f t="shared" ca="1" si="6"/>
        <v>0.01</v>
      </c>
      <c r="B37" s="304">
        <f t="shared" ca="1" si="7"/>
        <v>3.5299999999999931</v>
      </c>
      <c r="D37" s="306">
        <f t="shared" ca="1" si="8"/>
        <v>7.3672991822826237</v>
      </c>
      <c r="E37" s="307">
        <f t="shared" ca="1" si="9"/>
        <v>23.597599628112029</v>
      </c>
      <c r="F37" s="304">
        <f t="shared" ca="1" si="10"/>
        <v>24.720918377963532</v>
      </c>
      <c r="G37" s="306">
        <f t="shared" ca="1" si="11"/>
        <v>40.125728901392755</v>
      </c>
      <c r="H37" s="307">
        <f t="shared" ca="1" si="12"/>
        <v>181.85518474614247</v>
      </c>
      <c r="I37" s="304">
        <f t="shared" ca="1" si="13"/>
        <v>186.229380976584</v>
      </c>
      <c r="J37" s="306">
        <f t="shared" ca="1" si="14"/>
        <v>113.3521038929631</v>
      </c>
      <c r="K37" s="307">
        <f t="shared" ca="1" si="15"/>
        <v>555.70256012848495</v>
      </c>
      <c r="L37" s="304">
        <f t="shared" ca="1" si="0"/>
        <v>567.14551465238048</v>
      </c>
      <c r="M37" s="306">
        <f t="shared" ca="1" si="16"/>
        <v>1.3536293525936787</v>
      </c>
      <c r="N37" s="304">
        <f t="shared" ca="1" si="17"/>
        <v>77.557248928643787</v>
      </c>
      <c r="P37" s="310">
        <f t="shared" ca="1" si="18"/>
        <v>3</v>
      </c>
      <c r="Q37" s="304">
        <f t="shared" ca="1" si="19"/>
        <v>185.43103448275923</v>
      </c>
      <c r="R37" s="306">
        <f t="shared" ca="1" si="20"/>
        <v>9.8417482497167905E-2</v>
      </c>
      <c r="S37" s="307">
        <f t="shared" ca="1" si="21"/>
        <v>3.0207329823083398</v>
      </c>
      <c r="T37" s="304">
        <f t="shared" ca="1" si="1"/>
        <v>29.633390556444816</v>
      </c>
      <c r="U37" s="311">
        <f t="shared" ca="1" si="2"/>
        <v>0</v>
      </c>
      <c r="V37" s="306">
        <f t="shared" ca="1" si="3"/>
        <v>1.1587667361000054</v>
      </c>
      <c r="W37" s="304">
        <f t="shared" ca="1" si="4"/>
        <v>82.293453565652896</v>
      </c>
      <c r="Y37" s="314" t="str">
        <f t="shared" ca="1" si="22"/>
        <v/>
      </c>
      <c r="Z37" s="315" t="str">
        <f t="shared" ca="1" si="23"/>
        <v/>
      </c>
      <c r="AA37" s="316" t="str">
        <f t="shared" ca="1" si="24"/>
        <v/>
      </c>
      <c r="AC37" s="310" t="e">
        <f t="shared" ca="1" si="25"/>
        <v>#N/A</v>
      </c>
      <c r="AD37" s="323" t="e">
        <f t="shared" ca="1" si="26"/>
        <v>#N/A</v>
      </c>
      <c r="AE37" s="324">
        <f t="shared" ca="1" si="5"/>
        <v>555.70256012848495</v>
      </c>
      <c r="AG37" s="306">
        <f t="shared" ca="1" si="27"/>
        <v>24.630482385169699</v>
      </c>
      <c r="AH37" s="304">
        <f t="shared" ca="1" si="28"/>
        <v>34.210302690176441</v>
      </c>
    </row>
    <row r="38" spans="1:34" x14ac:dyDescent="0.2">
      <c r="A38" s="347">
        <f t="shared" ca="1" si="6"/>
        <v>0.01</v>
      </c>
      <c r="B38" s="304">
        <f t="shared" ca="1" si="7"/>
        <v>3.5399999999999929</v>
      </c>
      <c r="D38" s="306">
        <f t="shared" ca="1" si="8"/>
        <v>7.2975137267273906</v>
      </c>
      <c r="E38" s="307">
        <f t="shared" ca="1" si="9"/>
        <v>23.26331089792258</v>
      </c>
      <c r="F38" s="304">
        <f t="shared" ca="1" si="10"/>
        <v>24.381044697165422</v>
      </c>
      <c r="G38" s="306">
        <f t="shared" ca="1" si="11"/>
        <v>40.198704038660026</v>
      </c>
      <c r="H38" s="307">
        <f t="shared" ca="1" si="12"/>
        <v>182.0878178551217</v>
      </c>
      <c r="I38" s="304">
        <f t="shared" ca="1" si="13"/>
        <v>186.4722746620198</v>
      </c>
      <c r="J38" s="306">
        <f t="shared" ca="1" si="14"/>
        <v>113.75372605766337</v>
      </c>
      <c r="K38" s="307">
        <f t="shared" ca="1" si="15"/>
        <v>557.52227514149126</v>
      </c>
      <c r="L38" s="304">
        <f t="shared" ca="1" si="0"/>
        <v>569.00878505603634</v>
      </c>
      <c r="M38" s="306">
        <f t="shared" ca="1" si="16"/>
        <v>1.3535160005186604</v>
      </c>
      <c r="N38" s="304">
        <f t="shared" ca="1" si="17"/>
        <v>77.550754333146187</v>
      </c>
      <c r="P38" s="310">
        <f t="shared" ca="1" si="18"/>
        <v>3</v>
      </c>
      <c r="Q38" s="304">
        <f t="shared" ca="1" si="19"/>
        <v>184.56896551724199</v>
      </c>
      <c r="R38" s="306">
        <f t="shared" ca="1" si="20"/>
        <v>9.7959939575284288E-2</v>
      </c>
      <c r="S38" s="307">
        <f t="shared" ca="1" si="21"/>
        <v>3.0197533829125871</v>
      </c>
      <c r="T38" s="304">
        <f t="shared" ca="1" si="1"/>
        <v>29.623780686372481</v>
      </c>
      <c r="U38" s="311">
        <f t="shared" ca="1" si="2"/>
        <v>0</v>
      </c>
      <c r="V38" s="306">
        <f t="shared" ca="1" si="3"/>
        <v>1.1585557293425213</v>
      </c>
      <c r="W38" s="304">
        <f t="shared" ca="1" si="4"/>
        <v>82.493235157442314</v>
      </c>
      <c r="Y38" s="314" t="str">
        <f t="shared" ca="1" si="22"/>
        <v/>
      </c>
      <c r="Z38" s="315" t="str">
        <f t="shared" ca="1" si="23"/>
        <v/>
      </c>
      <c r="AA38" s="316" t="str">
        <f t="shared" ca="1" si="24"/>
        <v/>
      </c>
      <c r="AC38" s="310" t="e">
        <f t="shared" ca="1" si="25"/>
        <v>#N/A</v>
      </c>
      <c r="AD38" s="323" t="e">
        <f t="shared" ca="1" si="26"/>
        <v>#N/A</v>
      </c>
      <c r="AE38" s="324">
        <f t="shared" ca="1" si="5"/>
        <v>557.52227514149126</v>
      </c>
      <c r="AG38" s="306">
        <f t="shared" ca="1" si="27"/>
        <v>24.289248747329896</v>
      </c>
      <c r="AH38" s="304">
        <f t="shared" ca="1" si="28"/>
        <v>33.868829332328851</v>
      </c>
    </row>
    <row r="39" spans="1:34" x14ac:dyDescent="0.2">
      <c r="A39" s="347">
        <f t="shared" ca="1" si="6"/>
        <v>0.01</v>
      </c>
      <c r="B39" s="304">
        <f t="shared" ca="1" si="7"/>
        <v>3.5499999999999927</v>
      </c>
      <c r="D39" s="306">
        <f t="shared" ca="1" si="8"/>
        <v>7.2277927541131541</v>
      </c>
      <c r="E39" s="307">
        <f t="shared" ca="1" si="9"/>
        <v>22.929687559076704</v>
      </c>
      <c r="F39" s="304">
        <f t="shared" ca="1" si="10"/>
        <v>24.041870968235557</v>
      </c>
      <c r="G39" s="306">
        <f t="shared" ca="1" si="11"/>
        <v>40.270981966201155</v>
      </c>
      <c r="H39" s="307">
        <f t="shared" ca="1" si="12"/>
        <v>182.31711473071246</v>
      </c>
      <c r="I39" s="304">
        <f t="shared" ca="1" si="13"/>
        <v>186.71176265102815</v>
      </c>
      <c r="J39" s="306">
        <f t="shared" ca="1" si="14"/>
        <v>114.15607448768768</v>
      </c>
      <c r="K39" s="307">
        <f t="shared" ca="1" si="15"/>
        <v>559.34429980442042</v>
      </c>
      <c r="L39" s="304">
        <f t="shared" ca="1" si="0"/>
        <v>570.87446524269751</v>
      </c>
      <c r="M39" s="306">
        <f t="shared" ca="1" si="16"/>
        <v>1.3534027356794047</v>
      </c>
      <c r="N39" s="304">
        <f t="shared" ca="1" si="17"/>
        <v>77.544264735889612</v>
      </c>
      <c r="P39" s="310">
        <f t="shared" ca="1" si="18"/>
        <v>3</v>
      </c>
      <c r="Q39" s="304">
        <f t="shared" ca="1" si="19"/>
        <v>183.70689655172475</v>
      </c>
      <c r="R39" s="306">
        <f t="shared" ca="1" si="20"/>
        <v>9.7502396653400658E-2</v>
      </c>
      <c r="S39" s="307">
        <f t="shared" ca="1" si="21"/>
        <v>3.0187783589460531</v>
      </c>
      <c r="T39" s="304">
        <f t="shared" ca="1" si="1"/>
        <v>29.614215701260783</v>
      </c>
      <c r="U39" s="311">
        <f t="shared" ca="1" si="2"/>
        <v>0</v>
      </c>
      <c r="V39" s="306">
        <f t="shared" ca="1" si="3"/>
        <v>1.1583444921911317</v>
      </c>
      <c r="W39" s="304">
        <f t="shared" ca="1" si="4"/>
        <v>82.690185320902941</v>
      </c>
      <c r="Y39" s="314" t="str">
        <f t="shared" ca="1" si="22"/>
        <v/>
      </c>
      <c r="Z39" s="315" t="str">
        <f t="shared" ca="1" si="23"/>
        <v/>
      </c>
      <c r="AA39" s="316" t="str">
        <f t="shared" ca="1" si="24"/>
        <v/>
      </c>
      <c r="AC39" s="310" t="e">
        <f t="shared" ca="1" si="25"/>
        <v>#N/A</v>
      </c>
      <c r="AD39" s="323" t="e">
        <f t="shared" ca="1" si="26"/>
        <v>#N/A</v>
      </c>
      <c r="AE39" s="324">
        <f t="shared" ca="1" si="5"/>
        <v>559.34429980442042</v>
      </c>
      <c r="AG39" s="306">
        <f t="shared" ca="1" si="27"/>
        <v>23.948679135284607</v>
      </c>
      <c r="AH39" s="304">
        <f t="shared" ca="1" si="28"/>
        <v>33.528020066242689</v>
      </c>
    </row>
    <row r="40" spans="1:34" x14ac:dyDescent="0.2">
      <c r="A40" s="347">
        <f t="shared" ca="1" si="6"/>
        <v>0.01</v>
      </c>
      <c r="B40" s="304">
        <f t="shared" ca="1" si="7"/>
        <v>3.5599999999999925</v>
      </c>
      <c r="D40" s="306">
        <f t="shared" ca="1" si="8"/>
        <v>7.1581374283609103</v>
      </c>
      <c r="E40" s="307">
        <f t="shared" ca="1" si="9"/>
        <v>22.596733063524333</v>
      </c>
      <c r="F40" s="304">
        <f t="shared" ca="1" si="10"/>
        <v>23.703402215451586</v>
      </c>
      <c r="G40" s="306">
        <f t="shared" ca="1" si="11"/>
        <v>40.342563340484766</v>
      </c>
      <c r="H40" s="307">
        <f t="shared" ca="1" si="12"/>
        <v>182.54308206134772</v>
      </c>
      <c r="I40" s="304">
        <f t="shared" ca="1" si="13"/>
        <v>186.94785162000912</v>
      </c>
      <c r="J40" s="306">
        <f t="shared" ca="1" si="14"/>
        <v>114.55914221422111</v>
      </c>
      <c r="K40" s="307">
        <f t="shared" ca="1" si="15"/>
        <v>561.16860078838067</v>
      </c>
      <c r="L40" s="304">
        <f t="shared" ca="1" si="0"/>
        <v>572.7425211870052</v>
      </c>
      <c r="M40" s="306">
        <f t="shared" ca="1" si="16"/>
        <v>1.3532895558408033</v>
      </c>
      <c r="N40" s="304">
        <f t="shared" ca="1" si="17"/>
        <v>77.537780008811779</v>
      </c>
      <c r="P40" s="310">
        <f t="shared" ca="1" si="18"/>
        <v>3</v>
      </c>
      <c r="Q40" s="304">
        <f t="shared" ca="1" si="19"/>
        <v>182.84482758620754</v>
      </c>
      <c r="R40" s="306">
        <f t="shared" ca="1" si="20"/>
        <v>9.7044853731517056E-2</v>
      </c>
      <c r="S40" s="307">
        <f t="shared" ca="1" si="21"/>
        <v>3.0178079104087381</v>
      </c>
      <c r="T40" s="304">
        <f t="shared" ca="1" si="1"/>
        <v>29.604695601109722</v>
      </c>
      <c r="U40" s="311">
        <f t="shared" ca="1" si="2"/>
        <v>0</v>
      </c>
      <c r="V40" s="306">
        <f t="shared" ca="1" si="3"/>
        <v>1.1581330286412412</v>
      </c>
      <c r="W40" s="304">
        <f t="shared" ca="1" si="4"/>
        <v>82.884300027020714</v>
      </c>
      <c r="Y40" s="314" t="str">
        <f t="shared" ca="1" si="22"/>
        <v/>
      </c>
      <c r="Z40" s="315" t="str">
        <f t="shared" ca="1" si="23"/>
        <v/>
      </c>
      <c r="AA40" s="316" t="str">
        <f t="shared" ca="1" si="24"/>
        <v/>
      </c>
      <c r="AC40" s="310" t="e">
        <f t="shared" ca="1" si="25"/>
        <v>#N/A</v>
      </c>
      <c r="AD40" s="323" t="e">
        <f t="shared" ca="1" si="26"/>
        <v>#N/A</v>
      </c>
      <c r="AE40" s="324">
        <f t="shared" ca="1" si="5"/>
        <v>561.16860078838067</v>
      </c>
      <c r="AG40" s="306">
        <f t="shared" ca="1" si="27"/>
        <v>23.60877716102847</v>
      </c>
      <c r="AH40" s="304">
        <f t="shared" ca="1" si="28"/>
        <v>33.187878499443478</v>
      </c>
    </row>
    <row r="41" spans="1:34" x14ac:dyDescent="0.2">
      <c r="A41" s="347">
        <f t="shared" ca="1" si="6"/>
        <v>0.01</v>
      </c>
      <c r="B41" s="304">
        <f t="shared" ca="1" si="7"/>
        <v>3.5699999999999923</v>
      </c>
      <c r="D41" s="306">
        <f t="shared" ca="1" si="8"/>
        <v>7.0885488938275616</v>
      </c>
      <c r="E41" s="307">
        <f t="shared" ca="1" si="9"/>
        <v>22.264450785414347</v>
      </c>
      <c r="F41" s="304">
        <f t="shared" ca="1" si="10"/>
        <v>23.365643457784799</v>
      </c>
      <c r="G41" s="306">
        <f t="shared" ca="1" si="11"/>
        <v>40.413448829423039</v>
      </c>
      <c r="H41" s="307">
        <f t="shared" ca="1" si="12"/>
        <v>182.76572656920186</v>
      </c>
      <c r="I41" s="304">
        <f t="shared" ca="1" si="13"/>
        <v>187.18054828068179</v>
      </c>
      <c r="J41" s="306">
        <f t="shared" ca="1" si="14"/>
        <v>114.96292227507065</v>
      </c>
      <c r="K41" s="307">
        <f t="shared" ca="1" si="15"/>
        <v>562.99514483153337</v>
      </c>
      <c r="L41" s="304">
        <f t="shared" ca="1" si="0"/>
        <v>574.61291893056421</v>
      </c>
      <c r="M41" s="306">
        <f t="shared" ca="1" si="16"/>
        <v>1.3531764587837454</v>
      </c>
      <c r="N41" s="304">
        <f t="shared" ca="1" si="17"/>
        <v>77.531300024767006</v>
      </c>
      <c r="P41" s="310">
        <f t="shared" ca="1" si="18"/>
        <v>3</v>
      </c>
      <c r="Q41" s="304">
        <f t="shared" ca="1" si="19"/>
        <v>181.98275862069033</v>
      </c>
      <c r="R41" s="306">
        <f t="shared" ca="1" si="20"/>
        <v>9.6587310809633439E-2</v>
      </c>
      <c r="S41" s="307">
        <f t="shared" ca="1" si="21"/>
        <v>3.0168420373006417</v>
      </c>
      <c r="T41" s="304">
        <f t="shared" ca="1" si="1"/>
        <v>29.595220385919298</v>
      </c>
      <c r="U41" s="311">
        <f t="shared" ca="1" si="2"/>
        <v>0</v>
      </c>
      <c r="V41" s="306">
        <f t="shared" ca="1" si="3"/>
        <v>1.1579213426778467</v>
      </c>
      <c r="W41" s="304">
        <f t="shared" ca="1" si="4"/>
        <v>83.075575482138163</v>
      </c>
      <c r="Y41" s="314" t="str">
        <f t="shared" ca="1" si="22"/>
        <v/>
      </c>
      <c r="Z41" s="315" t="str">
        <f t="shared" ca="1" si="23"/>
        <v/>
      </c>
      <c r="AA41" s="316" t="str">
        <f t="shared" ca="1" si="24"/>
        <v/>
      </c>
      <c r="AC41" s="310" t="e">
        <f t="shared" ca="1" si="25"/>
        <v>#N/A</v>
      </c>
      <c r="AD41" s="323" t="e">
        <f t="shared" ca="1" si="26"/>
        <v>#N/A</v>
      </c>
      <c r="AE41" s="324">
        <f t="shared" ca="1" si="5"/>
        <v>562.99514483153337</v>
      </c>
      <c r="AG41" s="306">
        <f t="shared" ca="1" si="27"/>
        <v>23.269546356469</v>
      </c>
      <c r="AH41" s="304">
        <f t="shared" ca="1" si="28"/>
        <v>32.848408159394133</v>
      </c>
    </row>
    <row r="42" spans="1:34" x14ac:dyDescent="0.2">
      <c r="A42" s="347">
        <f t="shared" ca="1" si="6"/>
        <v>0.01</v>
      </c>
      <c r="B42" s="304">
        <f t="shared" ca="1" si="7"/>
        <v>3.5799999999999921</v>
      </c>
      <c r="D42" s="306">
        <f t="shared" ca="1" si="8"/>
        <v>7.0190282754061855</v>
      </c>
      <c r="E42" s="307">
        <f t="shared" ca="1" si="9"/>
        <v>21.932844021528119</v>
      </c>
      <c r="F42" s="304">
        <f t="shared" ca="1" si="10"/>
        <v>23.02859971434723</v>
      </c>
      <c r="G42" s="306">
        <f t="shared" ca="1" si="11"/>
        <v>40.483639112177102</v>
      </c>
      <c r="H42" s="307">
        <f t="shared" ca="1" si="12"/>
        <v>182.98505500941715</v>
      </c>
      <c r="I42" s="304">
        <f t="shared" ca="1" si="13"/>
        <v>187.40985937928775</v>
      </c>
      <c r="J42" s="306">
        <f t="shared" ca="1" si="14"/>
        <v>115.36740771477865</v>
      </c>
      <c r="K42" s="307">
        <f t="shared" ca="1" si="15"/>
        <v>564.82389873942645</v>
      </c>
      <c r="L42" s="304">
        <f t="shared" ca="1" si="0"/>
        <v>576.48562458229071</v>
      </c>
      <c r="M42" s="306">
        <f t="shared" ca="1" si="16"/>
        <v>1.3530634423048122</v>
      </c>
      <c r="N42" s="304">
        <f t="shared" ca="1" si="17"/>
        <v>77.524824657508702</v>
      </c>
      <c r="P42" s="310">
        <f t="shared" ca="1" si="18"/>
        <v>3</v>
      </c>
      <c r="Q42" s="304">
        <f t="shared" ca="1" si="19"/>
        <v>181.12068965517309</v>
      </c>
      <c r="R42" s="306">
        <f t="shared" ca="1" si="20"/>
        <v>9.6129767887749823E-2</v>
      </c>
      <c r="S42" s="307">
        <f t="shared" ca="1" si="21"/>
        <v>3.0158807396217644</v>
      </c>
      <c r="T42" s="304">
        <f t="shared" ca="1" si="1"/>
        <v>29.585790055689511</v>
      </c>
      <c r="U42" s="311">
        <f t="shared" ca="1" si="2"/>
        <v>0</v>
      </c>
      <c r="V42" s="306">
        <f t="shared" ca="1" si="3"/>
        <v>1.1577094382755004</v>
      </c>
      <c r="W42" s="304">
        <f t="shared" ca="1" si="4"/>
        <v>83.264008126061952</v>
      </c>
      <c r="Y42" s="314" t="str">
        <f t="shared" ca="1" si="22"/>
        <v/>
      </c>
      <c r="Z42" s="315" t="str">
        <f t="shared" ca="1" si="23"/>
        <v/>
      </c>
      <c r="AA42" s="316" t="str">
        <f t="shared" ca="1" si="24"/>
        <v/>
      </c>
      <c r="AC42" s="310" t="e">
        <f t="shared" ca="1" si="25"/>
        <v>#N/A</v>
      </c>
      <c r="AD42" s="323" t="e">
        <f t="shared" ca="1" si="26"/>
        <v>#N/A</v>
      </c>
      <c r="AE42" s="324">
        <f t="shared" ca="1" si="5"/>
        <v>564.82389873942645</v>
      </c>
      <c r="AG42" s="306">
        <f t="shared" ca="1" si="27"/>
        <v>22.930990173870264</v>
      </c>
      <c r="AH42" s="304">
        <f t="shared" ca="1" si="28"/>
        <v>32.509612493938079</v>
      </c>
    </row>
    <row r="43" spans="1:34" x14ac:dyDescent="0.2">
      <c r="A43" s="347">
        <f t="shared" ca="1" si="6"/>
        <v>0.01</v>
      </c>
      <c r="B43" s="304">
        <f t="shared" ca="1" si="7"/>
        <v>3.5899999999999919</v>
      </c>
      <c r="D43" s="306">
        <f t="shared" ca="1" si="8"/>
        <v>6.9495766786270146</v>
      </c>
      <c r="E43" s="307">
        <f t="shared" ca="1" si="9"/>
        <v>21.601915991717775</v>
      </c>
      <c r="F43" s="304">
        <f t="shared" ca="1" si="10"/>
        <v>22.692276010249579</v>
      </c>
      <c r="G43" s="306">
        <f t="shared" ca="1" si="11"/>
        <v>40.55313487896337</v>
      </c>
      <c r="H43" s="307">
        <f t="shared" ca="1" si="12"/>
        <v>183.20107416933433</v>
      </c>
      <c r="I43" s="304">
        <f t="shared" ca="1" si="13"/>
        <v>187.63579169579916</v>
      </c>
      <c r="J43" s="306">
        <f t="shared" ca="1" si="14"/>
        <v>115.77259158473436</v>
      </c>
      <c r="K43" s="307">
        <f t="shared" ca="1" si="15"/>
        <v>566.65482938532023</v>
      </c>
      <c r="L43" s="304">
        <f t="shared" ca="1" si="0"/>
        <v>578.36060431875205</v>
      </c>
      <c r="M43" s="306">
        <f t="shared" ca="1" si="16"/>
        <v>1.3529505042159793</v>
      </c>
      <c r="N43" s="304">
        <f t="shared" ca="1" si="17"/>
        <v>77.518353781672303</v>
      </c>
      <c r="P43" s="310">
        <f t="shared" ca="1" si="18"/>
        <v>3</v>
      </c>
      <c r="Q43" s="304">
        <f t="shared" ca="1" si="19"/>
        <v>180.25862068965588</v>
      </c>
      <c r="R43" s="306">
        <f t="shared" ca="1" si="20"/>
        <v>9.567222496586622E-2</v>
      </c>
      <c r="S43" s="307">
        <f t="shared" ca="1" si="21"/>
        <v>3.0149240173721057</v>
      </c>
      <c r="T43" s="304">
        <f t="shared" ca="1" si="1"/>
        <v>29.576404610420358</v>
      </c>
      <c r="U43" s="311">
        <f t="shared" ca="1" si="2"/>
        <v>0</v>
      </c>
      <c r="V43" s="306">
        <f t="shared" ca="1" si="3"/>
        <v>1.1574973193982698</v>
      </c>
      <c r="W43" s="304">
        <f t="shared" ca="1" si="4"/>
        <v>83.449594630163261</v>
      </c>
      <c r="Y43" s="314" t="str">
        <f t="shared" ca="1" si="22"/>
        <v/>
      </c>
      <c r="Z43" s="315" t="str">
        <f t="shared" ca="1" si="23"/>
        <v/>
      </c>
      <c r="AA43" s="316" t="str">
        <f t="shared" ca="1" si="24"/>
        <v/>
      </c>
      <c r="AC43" s="310" t="e">
        <f t="shared" ca="1" si="25"/>
        <v>#N/A</v>
      </c>
      <c r="AD43" s="323" t="e">
        <f t="shared" ca="1" si="26"/>
        <v>#N/A</v>
      </c>
      <c r="AE43" s="324">
        <f t="shared" ca="1" si="5"/>
        <v>566.65482938532023</v>
      </c>
      <c r="AG43" s="306">
        <f t="shared" ca="1" si="27"/>
        <v>22.593111986301277</v>
      </c>
      <c r="AH43" s="304">
        <f t="shared" ca="1" si="28"/>
        <v>32.171494871747122</v>
      </c>
    </row>
    <row r="44" spans="1:34" x14ac:dyDescent="0.2">
      <c r="A44" s="347">
        <f t="shared" ca="1" si="6"/>
        <v>0.01</v>
      </c>
      <c r="B44" s="304">
        <f t="shared" ca="1" si="7"/>
        <v>3.5999999999999917</v>
      </c>
      <c r="D44" s="306">
        <f t="shared" ca="1" si="8"/>
        <v>6.8801951897590348</v>
      </c>
      <c r="E44" s="307">
        <f t="shared" ca="1" si="9"/>
        <v>21.271669839349343</v>
      </c>
      <c r="F44" s="304">
        <f t="shared" ca="1" si="10"/>
        <v>22.356677382908845</v>
      </c>
      <c r="G44" s="306">
        <f t="shared" ca="1" si="11"/>
        <v>40.62193683086096</v>
      </c>
      <c r="H44" s="307">
        <f t="shared" ca="1" si="12"/>
        <v>183.41379086772784</v>
      </c>
      <c r="I44" s="304">
        <f t="shared" ca="1" si="13"/>
        <v>187.8583520431313</v>
      </c>
      <c r="J44" s="306">
        <f t="shared" ca="1" si="14"/>
        <v>116.17846694328348</v>
      </c>
      <c r="K44" s="307">
        <f t="shared" ca="1" si="15"/>
        <v>568.48790371050552</v>
      </c>
      <c r="L44" s="304">
        <f t="shared" ca="1" si="0"/>
        <v>580.23782438449894</v>
      </c>
      <c r="M44" s="306">
        <f t="shared" ca="1" si="16"/>
        <v>1.3528376423443218</v>
      </c>
      <c r="N44" s="304">
        <f t="shared" ca="1" si="17"/>
        <v>77.511887272758386</v>
      </c>
      <c r="P44" s="310">
        <f t="shared" ca="1" si="18"/>
        <v>3</v>
      </c>
      <c r="Q44" s="304">
        <f t="shared" ca="1" si="19"/>
        <v>179.39655172413865</v>
      </c>
      <c r="R44" s="306">
        <f t="shared" ca="1" si="20"/>
        <v>9.521468204398259E-2</v>
      </c>
      <c r="S44" s="307">
        <f t="shared" ca="1" si="21"/>
        <v>3.013971870551666</v>
      </c>
      <c r="T44" s="304">
        <f t="shared" ca="1" si="1"/>
        <v>29.567064050111846</v>
      </c>
      <c r="U44" s="311">
        <f t="shared" ca="1" si="2"/>
        <v>0</v>
      </c>
      <c r="V44" s="306">
        <f t="shared" ca="1" si="3"/>
        <v>1.1572849899997033</v>
      </c>
      <c r="W44" s="304">
        <f t="shared" ca="1" si="4"/>
        <v>83.632331895472774</v>
      </c>
      <c r="Y44" s="314" t="str">
        <f t="shared" ca="1" si="22"/>
        <v/>
      </c>
      <c r="Z44" s="315" t="str">
        <f t="shared" ca="1" si="23"/>
        <v/>
      </c>
      <c r="AA44" s="316" t="str">
        <f t="shared" ca="1" si="24"/>
        <v/>
      </c>
      <c r="AC44" s="310" t="e">
        <f t="shared" ca="1" si="25"/>
        <v>#N/A</v>
      </c>
      <c r="AD44" s="323" t="e">
        <f t="shared" ca="1" si="26"/>
        <v>#N/A</v>
      </c>
      <c r="AE44" s="324">
        <f t="shared" ca="1" si="5"/>
        <v>568.48790371050552</v>
      </c>
      <c r="AG44" s="306">
        <f t="shared" ca="1" si="27"/>
        <v>22.255915088089338</v>
      </c>
      <c r="AH44" s="304">
        <f t="shared" ca="1" si="28"/>
        <v>31.834058582774237</v>
      </c>
    </row>
    <row r="45" spans="1:34" x14ac:dyDescent="0.2">
      <c r="A45" s="347">
        <f t="shared" ca="1" si="6"/>
        <v>0.01</v>
      </c>
      <c r="B45" s="304">
        <f t="shared" ca="1" si="7"/>
        <v>3.6099999999999914</v>
      </c>
      <c r="D45" s="306">
        <f t="shared" ca="1" si="8"/>
        <v>6.8108848759122491</v>
      </c>
      <c r="E45" s="307">
        <f t="shared" ca="1" si="9"/>
        <v>20.942108631750436</v>
      </c>
      <c r="F45" s="304">
        <f t="shared" ca="1" si="10"/>
        <v>22.02180888884849</v>
      </c>
      <c r="G45" s="306">
        <f t="shared" ca="1" si="11"/>
        <v>40.690045679620084</v>
      </c>
      <c r="H45" s="307">
        <f t="shared" ca="1" si="12"/>
        <v>183.62321195404533</v>
      </c>
      <c r="I45" s="304">
        <f t="shared" ca="1" si="13"/>
        <v>188.07754726635986</v>
      </c>
      <c r="J45" s="306">
        <f t="shared" ca="1" si="14"/>
        <v>116.58502685583589</v>
      </c>
      <c r="K45" s="307">
        <f t="shared" ca="1" si="15"/>
        <v>570.32308872461442</v>
      </c>
      <c r="L45" s="304">
        <f t="shared" ca="1" si="0"/>
        <v>582.11725109238978</v>
      </c>
      <c r="M45" s="306">
        <f t="shared" ca="1" si="16"/>
        <v>1.3527248545317232</v>
      </c>
      <c r="N45" s="304">
        <f t="shared" ca="1" si="17"/>
        <v>77.505425007115974</v>
      </c>
      <c r="P45" s="310">
        <f t="shared" ca="1" si="18"/>
        <v>3</v>
      </c>
      <c r="Q45" s="304">
        <f t="shared" ca="1" si="19"/>
        <v>178.53448275862144</v>
      </c>
      <c r="R45" s="306">
        <f t="shared" ca="1" si="20"/>
        <v>9.4757139122098988E-2</v>
      </c>
      <c r="S45" s="307">
        <f t="shared" ca="1" si="21"/>
        <v>3.013024299160445</v>
      </c>
      <c r="T45" s="304">
        <f t="shared" ca="1" si="1"/>
        <v>29.557768374763967</v>
      </c>
      <c r="U45" s="311">
        <f t="shared" ca="1" si="2"/>
        <v>0</v>
      </c>
      <c r="V45" s="306">
        <f t="shared" ca="1" si="3"/>
        <v>1.157072454022795</v>
      </c>
      <c r="W45" s="304">
        <f t="shared" ca="1" si="4"/>
        <v>83.812217050770229</v>
      </c>
      <c r="Y45" s="314" t="str">
        <f t="shared" ca="1" si="22"/>
        <v/>
      </c>
      <c r="Z45" s="315" t="str">
        <f t="shared" ca="1" si="23"/>
        <v/>
      </c>
      <c r="AA45" s="316" t="str">
        <f t="shared" ca="1" si="24"/>
        <v/>
      </c>
      <c r="AC45" s="310" t="e">
        <f t="shared" ca="1" si="25"/>
        <v>#N/A</v>
      </c>
      <c r="AD45" s="323" t="e">
        <f t="shared" ca="1" si="26"/>
        <v>#N/A</v>
      </c>
      <c r="AE45" s="324">
        <f t="shared" ca="1" si="5"/>
        <v>570.32308872461442</v>
      </c>
      <c r="AG45" s="306">
        <f t="shared" ca="1" si="27"/>
        <v>21.919402695277945</v>
      </c>
      <c r="AH45" s="304">
        <f t="shared" ca="1" si="28"/>
        <v>31.497306838710987</v>
      </c>
    </row>
    <row r="46" spans="1:34" x14ac:dyDescent="0.2">
      <c r="A46" s="347">
        <f t="shared" ca="1" si="6"/>
        <v>0.01</v>
      </c>
      <c r="B46" s="304">
        <f t="shared" ca="1" si="7"/>
        <v>3.6199999999999912</v>
      </c>
      <c r="D46" s="306">
        <f t="shared" ca="1" si="8"/>
        <v>6.7416467851405786</v>
      </c>
      <c r="E46" s="307">
        <f t="shared" ca="1" si="9"/>
        <v>20.613235360662159</v>
      </c>
      <c r="F46" s="304">
        <f t="shared" ca="1" si="10"/>
        <v>21.687675611038845</v>
      </c>
      <c r="G46" s="306">
        <f t="shared" ca="1" si="11"/>
        <v>40.757462147471493</v>
      </c>
      <c r="H46" s="307">
        <f t="shared" ca="1" si="12"/>
        <v>183.82934430765195</v>
      </c>
      <c r="I46" s="304">
        <f t="shared" ca="1" si="13"/>
        <v>188.29338424194256</v>
      </c>
      <c r="J46" s="306">
        <f t="shared" ca="1" si="14"/>
        <v>116.99226439497134</v>
      </c>
      <c r="K46" s="307">
        <f t="shared" ca="1" si="15"/>
        <v>572.1603515059229</v>
      </c>
      <c r="L46" s="304">
        <f t="shared" ca="1" si="0"/>
        <v>583.99885082390722</v>
      </c>
      <c r="M46" s="306">
        <f t="shared" ca="1" si="16"/>
        <v>1.3526121386345924</v>
      </c>
      <c r="N46" s="304">
        <f t="shared" ca="1" si="17"/>
        <v>77.498966861926348</v>
      </c>
      <c r="P46" s="310">
        <f t="shared" ca="1" si="18"/>
        <v>3</v>
      </c>
      <c r="Q46" s="304">
        <f t="shared" ca="1" si="19"/>
        <v>177.6724137931042</v>
      </c>
      <c r="R46" s="306">
        <f t="shared" ca="1" si="20"/>
        <v>9.4299596200215358E-2</v>
      </c>
      <c r="S46" s="307">
        <f t="shared" ca="1" si="21"/>
        <v>3.012081303198443</v>
      </c>
      <c r="T46" s="304">
        <f t="shared" ca="1" si="1"/>
        <v>29.548517584376729</v>
      </c>
      <c r="U46" s="311">
        <f t="shared" ca="1" si="2"/>
        <v>0</v>
      </c>
      <c r="V46" s="306">
        <f t="shared" ca="1" si="3"/>
        <v>1.1568597153999487</v>
      </c>
      <c r="W46" s="304">
        <f t="shared" ca="1" si="4"/>
        <v>83.989247450668458</v>
      </c>
      <c r="Y46" s="314" t="str">
        <f t="shared" ca="1" si="22"/>
        <v/>
      </c>
      <c r="Z46" s="315" t="str">
        <f t="shared" ca="1" si="23"/>
        <v/>
      </c>
      <c r="AA46" s="316" t="str">
        <f t="shared" ca="1" si="24"/>
        <v/>
      </c>
      <c r="AC46" s="310" t="e">
        <f t="shared" ca="1" si="25"/>
        <v>#N/A</v>
      </c>
      <c r="AD46" s="323" t="e">
        <f t="shared" ca="1" si="26"/>
        <v>#N/A</v>
      </c>
      <c r="AE46" s="324">
        <f t="shared" ca="1" si="5"/>
        <v>572.1603515059229</v>
      </c>
      <c r="AG46" s="306">
        <f t="shared" ca="1" si="27"/>
        <v>21.583577946089044</v>
      </c>
      <c r="AH46" s="304">
        <f t="shared" ca="1" si="28"/>
        <v>31.161242773449214</v>
      </c>
    </row>
    <row r="47" spans="1:34" x14ac:dyDescent="0.2">
      <c r="A47" s="347">
        <f t="shared" ca="1" si="6"/>
        <v>0.01</v>
      </c>
      <c r="B47" s="304">
        <f t="shared" ca="1" si="7"/>
        <v>3.629999999999991</v>
      </c>
      <c r="D47" s="306">
        <f t="shared" ca="1" si="8"/>
        <v>6.6724819465453074</v>
      </c>
      <c r="E47" s="307">
        <f t="shared" ca="1" si="9"/>
        <v>20.285052942695664</v>
      </c>
      <c r="F47" s="304">
        <f t="shared" ca="1" si="10"/>
        <v>21.354282666831473</v>
      </c>
      <c r="G47" s="306">
        <f t="shared" ca="1" si="11"/>
        <v>40.824186966936949</v>
      </c>
      <c r="H47" s="307">
        <f t="shared" ca="1" si="12"/>
        <v>184.03219483707892</v>
      </c>
      <c r="I47" s="304">
        <f t="shared" ca="1" si="13"/>
        <v>188.50586987694575</v>
      </c>
      <c r="J47" s="306">
        <f t="shared" ca="1" si="14"/>
        <v>117.40017264054339</v>
      </c>
      <c r="K47" s="307">
        <f t="shared" ca="1" si="15"/>
        <v>573.99965920164652</v>
      </c>
      <c r="L47" s="304">
        <f t="shared" ca="1" si="0"/>
        <v>585.88259002946631</v>
      </c>
      <c r="M47" s="306">
        <f t="shared" ca="1" si="16"/>
        <v>1.3524994925235803</v>
      </c>
      <c r="N47" s="304">
        <f t="shared" ca="1" si="17"/>
        <v>77.492512715186791</v>
      </c>
      <c r="P47" s="310">
        <f t="shared" ca="1" si="18"/>
        <v>3</v>
      </c>
      <c r="Q47" s="304">
        <f t="shared" ca="1" si="19"/>
        <v>176.81034482758699</v>
      </c>
      <c r="R47" s="306">
        <f t="shared" ca="1" si="20"/>
        <v>9.3842053278331755E-2</v>
      </c>
      <c r="S47" s="307">
        <f t="shared" ca="1" si="21"/>
        <v>3.0111428826656597</v>
      </c>
      <c r="T47" s="304">
        <f t="shared" ca="1" si="1"/>
        <v>29.539311678950124</v>
      </c>
      <c r="U47" s="311">
        <f t="shared" ca="1" si="2"/>
        <v>0</v>
      </c>
      <c r="V47" s="306">
        <f t="shared" ca="1" si="3"/>
        <v>1.1566467780529455</v>
      </c>
      <c r="W47" s="304">
        <f t="shared" ca="1" si="4"/>
        <v>84.163420673692954</v>
      </c>
      <c r="Y47" s="314" t="str">
        <f t="shared" ca="1" si="22"/>
        <v/>
      </c>
      <c r="Z47" s="315" t="str">
        <f t="shared" ca="1" si="23"/>
        <v/>
      </c>
      <c r="AA47" s="316" t="str">
        <f t="shared" ca="1" si="24"/>
        <v/>
      </c>
      <c r="AC47" s="310" t="e">
        <f t="shared" ca="1" si="25"/>
        <v>#N/A</v>
      </c>
      <c r="AD47" s="323" t="e">
        <f t="shared" ca="1" si="26"/>
        <v>#N/A</v>
      </c>
      <c r="AE47" s="324">
        <f t="shared" ca="1" si="5"/>
        <v>573.99965920164652</v>
      </c>
      <c r="AG47" s="306">
        <f t="shared" ca="1" si="27"/>
        <v>21.248443901389834</v>
      </c>
      <c r="AH47" s="304">
        <f t="shared" ca="1" si="28"/>
        <v>30.825869443547379</v>
      </c>
    </row>
    <row r="48" spans="1:34" x14ac:dyDescent="0.2">
      <c r="A48" s="347">
        <f t="shared" ca="1" si="6"/>
        <v>0.01</v>
      </c>
      <c r="B48" s="304">
        <f t="shared" ca="1" si="7"/>
        <v>3.6399999999999908</v>
      </c>
      <c r="D48" s="306">
        <f t="shared" ca="1" si="8"/>
        <v>6.6033913703792138</v>
      </c>
      <c r="E48" s="307">
        <f t="shared" ca="1" si="9"/>
        <v>19.95756421979253</v>
      </c>
      <c r="F48" s="304">
        <f t="shared" ca="1" si="10"/>
        <v>21.02163521654635</v>
      </c>
      <c r="G48" s="306">
        <f t="shared" ca="1" si="11"/>
        <v>40.89022088064074</v>
      </c>
      <c r="H48" s="307">
        <f t="shared" ca="1" si="12"/>
        <v>184.23177047927683</v>
      </c>
      <c r="I48" s="304">
        <f t="shared" ca="1" si="13"/>
        <v>188.71501110827543</v>
      </c>
      <c r="J48" s="306">
        <f t="shared" ca="1" si="14"/>
        <v>117.80874467978127</v>
      </c>
      <c r="K48" s="307">
        <f t="shared" ca="1" si="15"/>
        <v>575.84097902822828</v>
      </c>
      <c r="L48" s="304">
        <f t="shared" ca="1" si="0"/>
        <v>587.76843522871684</v>
      </c>
      <c r="M48" s="306">
        <f t="shared" ca="1" si="16"/>
        <v>1.3523869140833042</v>
      </c>
      <c r="N48" s="304">
        <f t="shared" ca="1" si="17"/>
        <v>77.486062445694813</v>
      </c>
      <c r="P48" s="310">
        <f t="shared" ca="1" si="18"/>
        <v>3</v>
      </c>
      <c r="Q48" s="304">
        <f t="shared" ca="1" si="19"/>
        <v>175.94827586206975</v>
      </c>
      <c r="R48" s="306">
        <f t="shared" ca="1" si="20"/>
        <v>9.3384510356448125E-2</v>
      </c>
      <c r="S48" s="307">
        <f t="shared" ca="1" si="21"/>
        <v>3.0102090375620953</v>
      </c>
      <c r="T48" s="304">
        <f t="shared" ca="1" si="1"/>
        <v>29.530150658484157</v>
      </c>
      <c r="U48" s="311">
        <f t="shared" ca="1" si="2"/>
        <v>0</v>
      </c>
      <c r="V48" s="306">
        <f t="shared" ca="1" si="3"/>
        <v>1.1564336458929132</v>
      </c>
      <c r="W48" s="304">
        <f t="shared" ca="1" si="4"/>
        <v>84.334734520357486</v>
      </c>
      <c r="Y48" s="314" t="str">
        <f t="shared" ca="1" si="22"/>
        <v/>
      </c>
      <c r="Z48" s="315" t="str">
        <f t="shared" ca="1" si="23"/>
        <v/>
      </c>
      <c r="AA48" s="316" t="str">
        <f t="shared" ca="1" si="24"/>
        <v/>
      </c>
      <c r="AC48" s="310" t="e">
        <f t="shared" ca="1" si="25"/>
        <v>#N/A</v>
      </c>
      <c r="AD48" s="323" t="e">
        <f t="shared" ca="1" si="26"/>
        <v>#N/A</v>
      </c>
      <c r="AE48" s="324">
        <f t="shared" ca="1" si="5"/>
        <v>575.84097902822828</v>
      </c>
      <c r="AG48" s="306">
        <f t="shared" ca="1" si="27"/>
        <v>20.914003545163609</v>
      </c>
      <c r="AH48" s="304">
        <f t="shared" ca="1" si="28"/>
        <v>30.491189828700868</v>
      </c>
    </row>
    <row r="49" spans="1:34" x14ac:dyDescent="0.2">
      <c r="A49" s="347">
        <f t="shared" ca="1" si="6"/>
        <v>0.01</v>
      </c>
      <c r="B49" s="304">
        <f t="shared" ca="1" si="7"/>
        <v>3.6499999999999906</v>
      </c>
      <c r="D49" s="306">
        <f t="shared" ca="1" si="8"/>
        <v>6.5343760481511719</v>
      </c>
      <c r="E49" s="307">
        <f t="shared" ca="1" si="9"/>
        <v>19.630771959689312</v>
      </c>
      <c r="F49" s="304">
        <f t="shared" ca="1" si="10"/>
        <v>20.689738472778622</v>
      </c>
      <c r="G49" s="306">
        <f t="shared" ca="1" si="11"/>
        <v>40.955564641122251</v>
      </c>
      <c r="H49" s="307">
        <f t="shared" ca="1" si="12"/>
        <v>184.42807819887372</v>
      </c>
      <c r="I49" s="304">
        <f t="shared" ca="1" si="13"/>
        <v>188.92081490191339</v>
      </c>
      <c r="J49" s="306">
        <f t="shared" ca="1" si="14"/>
        <v>118.21797360739008</v>
      </c>
      <c r="K49" s="307">
        <f t="shared" ca="1" si="15"/>
        <v>577.68427827161906</v>
      </c>
      <c r="L49" s="304">
        <f t="shared" ca="1" si="0"/>
        <v>589.65635301083546</v>
      </c>
      <c r="M49" s="306">
        <f t="shared" ca="1" si="16"/>
        <v>1.3522744012120755</v>
      </c>
      <c r="N49" s="304">
        <f t="shared" ca="1" si="17"/>
        <v>77.479615933032505</v>
      </c>
      <c r="P49" s="310">
        <f t="shared" ca="1" si="18"/>
        <v>3</v>
      </c>
      <c r="Q49" s="304">
        <f t="shared" ca="1" si="19"/>
        <v>175.08620689655254</v>
      </c>
      <c r="R49" s="306">
        <f t="shared" ca="1" si="20"/>
        <v>9.2926967434564522E-2</v>
      </c>
      <c r="S49" s="307">
        <f t="shared" ca="1" si="21"/>
        <v>3.0092797678877496</v>
      </c>
      <c r="T49" s="304">
        <f t="shared" ca="1" si="1"/>
        <v>29.521034522978827</v>
      </c>
      <c r="U49" s="311">
        <f t="shared" ca="1" si="2"/>
        <v>0</v>
      </c>
      <c r="V49" s="306">
        <f t="shared" ca="1" si="3"/>
        <v>1.1562203228202925</v>
      </c>
      <c r="W49" s="304">
        <f t="shared" ca="1" si="4"/>
        <v>84.503187011235269</v>
      </c>
      <c r="Y49" s="314" t="str">
        <f t="shared" ca="1" si="22"/>
        <v/>
      </c>
      <c r="Z49" s="315" t="str">
        <f t="shared" ca="1" si="23"/>
        <v/>
      </c>
      <c r="AA49" s="316" t="str">
        <f t="shared" ca="1" si="24"/>
        <v/>
      </c>
      <c r="AC49" s="310" t="e">
        <f t="shared" ca="1" si="25"/>
        <v>#N/A</v>
      </c>
      <c r="AD49" s="323" t="e">
        <f t="shared" ca="1" si="26"/>
        <v>#N/A</v>
      </c>
      <c r="AE49" s="324">
        <f t="shared" ca="1" si="5"/>
        <v>577.68427827161906</v>
      </c>
      <c r="AG49" s="306">
        <f t="shared" ca="1" si="27"/>
        <v>20.580259784984658</v>
      </c>
      <c r="AH49" s="304">
        <f t="shared" ca="1" si="28"/>
        <v>30.15720683221641</v>
      </c>
    </row>
    <row r="50" spans="1:34" x14ac:dyDescent="0.2">
      <c r="A50" s="347">
        <f t="shared" ca="1" si="6"/>
        <v>0.01</v>
      </c>
      <c r="B50" s="304">
        <f t="shared" ca="1" si="7"/>
        <v>3.6599999999999904</v>
      </c>
      <c r="D50" s="306">
        <f t="shared" ca="1" si="8"/>
        <v>6.4654369527313591</v>
      </c>
      <c r="E50" s="307">
        <f t="shared" ca="1" si="9"/>
        <v>19.30467885638587</v>
      </c>
      <c r="F50" s="304">
        <f t="shared" ca="1" si="10"/>
        <v>20.358597710499016</v>
      </c>
      <c r="G50" s="306">
        <f t="shared" ca="1" si="11"/>
        <v>41.020219010649562</v>
      </c>
      <c r="H50" s="307">
        <f t="shared" ca="1" si="12"/>
        <v>184.62112498743758</v>
      </c>
      <c r="I50" s="304">
        <f t="shared" ca="1" si="13"/>
        <v>189.12328825215764</v>
      </c>
      <c r="J50" s="306">
        <f t="shared" ca="1" si="14"/>
        <v>118.62785252564893</v>
      </c>
      <c r="K50" s="307">
        <f t="shared" ca="1" si="15"/>
        <v>579.52952428755066</v>
      </c>
      <c r="L50" s="304">
        <f t="shared" ca="1" si="0"/>
        <v>591.546310034812</v>
      </c>
      <c r="M50" s="306">
        <f t="shared" ca="1" si="16"/>
        <v>1.3521619518216301</v>
      </c>
      <c r="N50" s="304">
        <f t="shared" ca="1" si="17"/>
        <v>77.473173057551165</v>
      </c>
      <c r="P50" s="310">
        <f t="shared" ca="1" si="18"/>
        <v>3</v>
      </c>
      <c r="Q50" s="304">
        <f t="shared" ca="1" si="19"/>
        <v>174.22413793103533</v>
      </c>
      <c r="R50" s="306">
        <f t="shared" ca="1" si="20"/>
        <v>9.246942451268092E-2</v>
      </c>
      <c r="S50" s="307">
        <f t="shared" ca="1" si="21"/>
        <v>3.008355073642623</v>
      </c>
      <c r="T50" s="304">
        <f t="shared" ca="1" si="1"/>
        <v>29.511963272434134</v>
      </c>
      <c r="U50" s="311">
        <f t="shared" ca="1" si="2"/>
        <v>0</v>
      </c>
      <c r="V50" s="306">
        <f t="shared" ca="1" si="3"/>
        <v>1.1560068127248087</v>
      </c>
      <c r="W50" s="304">
        <f t="shared" ca="1" si="4"/>
        <v>84.668776385027016</v>
      </c>
      <c r="Y50" s="314" t="str">
        <f t="shared" ca="1" si="22"/>
        <v/>
      </c>
      <c r="Z50" s="315" t="str">
        <f t="shared" ca="1" si="23"/>
        <v/>
      </c>
      <c r="AA50" s="316" t="str">
        <f t="shared" ca="1" si="24"/>
        <v/>
      </c>
      <c r="AC50" s="310" t="e">
        <f t="shared" ca="1" si="25"/>
        <v>#N/A</v>
      </c>
      <c r="AD50" s="323" t="e">
        <f t="shared" ca="1" si="26"/>
        <v>#N/A</v>
      </c>
      <c r="AE50" s="324">
        <f t="shared" ca="1" si="5"/>
        <v>579.52952428755066</v>
      </c>
      <c r="AG50" s="306">
        <f t="shared" ca="1" si="27"/>
        <v>20.247215452497105</v>
      </c>
      <c r="AH50" s="304">
        <f t="shared" ca="1" si="28"/>
        <v>29.823923281490423</v>
      </c>
    </row>
    <row r="51" spans="1:34" x14ac:dyDescent="0.2">
      <c r="A51" s="347">
        <f t="shared" ca="1" si="6"/>
        <v>0.01</v>
      </c>
      <c r="B51" s="304">
        <f t="shared" ca="1" si="7"/>
        <v>3.6699999999999902</v>
      </c>
      <c r="D51" s="306">
        <f t="shared" ca="1" si="8"/>
        <v>6.3965750384570059</v>
      </c>
      <c r="E51" s="307">
        <f t="shared" ca="1" si="9"/>
        <v>18.97928753061754</v>
      </c>
      <c r="F51" s="304">
        <f t="shared" ca="1" si="10"/>
        <v>20.028218278031268</v>
      </c>
      <c r="G51" s="306">
        <f t="shared" ca="1" si="11"/>
        <v>41.08418476103413</v>
      </c>
      <c r="H51" s="307">
        <f t="shared" ca="1" si="12"/>
        <v>184.81091786274376</v>
      </c>
      <c r="I51" s="304">
        <f t="shared" ca="1" si="13"/>
        <v>189.32243818086809</v>
      </c>
      <c r="J51" s="306">
        <f t="shared" ca="1" si="14"/>
        <v>119.03837454450735</v>
      </c>
      <c r="K51" s="307">
        <f t="shared" ca="1" si="15"/>
        <v>581.37668450180161</v>
      </c>
      <c r="L51" s="304">
        <f t="shared" ca="1" si="0"/>
        <v>593.43827302972784</v>
      </c>
      <c r="M51" s="306">
        <f t="shared" ca="1" si="16"/>
        <v>1.3520495638368646</v>
      </c>
      <c r="N51" s="304">
        <f t="shared" ca="1" si="17"/>
        <v>77.466733700356116</v>
      </c>
      <c r="P51" s="310">
        <f t="shared" ca="1" si="18"/>
        <v>3</v>
      </c>
      <c r="Q51" s="304">
        <f t="shared" ca="1" si="19"/>
        <v>173.36206896551809</v>
      </c>
      <c r="R51" s="306">
        <f t="shared" ca="1" si="20"/>
        <v>9.201188159079729E-2</v>
      </c>
      <c r="S51" s="307">
        <f t="shared" ca="1" si="21"/>
        <v>3.007434954826715</v>
      </c>
      <c r="T51" s="304">
        <f t="shared" ca="1" si="1"/>
        <v>29.502936906850074</v>
      </c>
      <c r="U51" s="311">
        <f t="shared" ca="1" si="2"/>
        <v>0</v>
      </c>
      <c r="V51" s="306">
        <f t="shared" ca="1" si="3"/>
        <v>1.1557931194854429</v>
      </c>
      <c r="W51" s="304">
        <f t="shared" ca="1" si="4"/>
        <v>84.831501096626042</v>
      </c>
      <c r="Y51" s="314" t="str">
        <f t="shared" ca="1" si="22"/>
        <v/>
      </c>
      <c r="Z51" s="315" t="str">
        <f t="shared" ca="1" si="23"/>
        <v/>
      </c>
      <c r="AA51" s="316" t="str">
        <f t="shared" ca="1" si="24"/>
        <v/>
      </c>
      <c r="AC51" s="310" t="e">
        <f t="shared" ca="1" si="25"/>
        <v>#N/A</v>
      </c>
      <c r="AD51" s="323" t="e">
        <f t="shared" ca="1" si="26"/>
        <v>#N/A</v>
      </c>
      <c r="AE51" s="324">
        <f t="shared" ca="1" si="5"/>
        <v>581.37668450180161</v>
      </c>
      <c r="AG51" s="306">
        <f t="shared" ca="1" si="27"/>
        <v>19.914873303897561</v>
      </c>
      <c r="AH51" s="304">
        <f t="shared" ca="1" si="28"/>
        <v>29.491341928491181</v>
      </c>
    </row>
    <row r="52" spans="1:34" x14ac:dyDescent="0.2">
      <c r="A52" s="347">
        <f t="shared" ca="1" si="6"/>
        <v>0.01</v>
      </c>
      <c r="B52" s="304">
        <f t="shared" ca="1" si="7"/>
        <v>3.6799999999999899</v>
      </c>
      <c r="D52" s="306">
        <f t="shared" ca="1" si="8"/>
        <v>6.3277912412386117</v>
      </c>
      <c r="E52" s="307">
        <f t="shared" ca="1" si="9"/>
        <v>18.654600530330747</v>
      </c>
      <c r="F52" s="304">
        <f t="shared" ca="1" si="10"/>
        <v>19.698605608999646</v>
      </c>
      <c r="G52" s="306">
        <f t="shared" ca="1" si="11"/>
        <v>41.147462673446519</v>
      </c>
      <c r="H52" s="307">
        <f t="shared" ca="1" si="12"/>
        <v>184.99746386804708</v>
      </c>
      <c r="I52" s="304">
        <f t="shared" ca="1" si="13"/>
        <v>189.51827173671688</v>
      </c>
      <c r="J52" s="306">
        <f t="shared" ca="1" si="14"/>
        <v>119.44953278167975</v>
      </c>
      <c r="K52" s="307">
        <f t="shared" ca="1" si="15"/>
        <v>583.22572641045554</v>
      </c>
      <c r="L52" s="304">
        <f t="shared" ca="1" si="0"/>
        <v>595.33220879502653</v>
      </c>
      <c r="M52" s="306">
        <f t="shared" ca="1" si="16"/>
        <v>1.351937235195575</v>
      </c>
      <c r="N52" s="304">
        <f t="shared" ca="1" si="17"/>
        <v>77.460297743291775</v>
      </c>
      <c r="P52" s="310">
        <f t="shared" ca="1" si="18"/>
        <v>3</v>
      </c>
      <c r="Q52" s="304">
        <f t="shared" ca="1" si="19"/>
        <v>172.50000000000085</v>
      </c>
      <c r="R52" s="306">
        <f t="shared" ca="1" si="20"/>
        <v>9.1554338668913673E-2</v>
      </c>
      <c r="S52" s="307">
        <f t="shared" ca="1" si="21"/>
        <v>3.006519411440026</v>
      </c>
      <c r="T52" s="304">
        <f t="shared" ca="1" si="1"/>
        <v>29.493955426226655</v>
      </c>
      <c r="U52" s="311">
        <f t="shared" ca="1" si="2"/>
        <v>0</v>
      </c>
      <c r="V52" s="306">
        <f t="shared" ca="1" si="3"/>
        <v>1.1555792469704016</v>
      </c>
      <c r="W52" s="304">
        <f t="shared" ca="1" si="4"/>
        <v>84.99135981518009</v>
      </c>
      <c r="Y52" s="314" t="str">
        <f t="shared" ca="1" si="22"/>
        <v/>
      </c>
      <c r="Z52" s="315" t="str">
        <f t="shared" ca="1" si="23"/>
        <v/>
      </c>
      <c r="AA52" s="316" t="str">
        <f t="shared" ca="1" si="24"/>
        <v/>
      </c>
      <c r="AC52" s="310" t="e">
        <f t="shared" ca="1" si="25"/>
        <v>#N/A</v>
      </c>
      <c r="AD52" s="323" t="e">
        <f t="shared" ca="1" si="26"/>
        <v>#N/A</v>
      </c>
      <c r="AE52" s="324">
        <f t="shared" ca="1" si="5"/>
        <v>583.22572641045554</v>
      </c>
      <c r="AG52" s="306">
        <f t="shared" ca="1" si="27"/>
        <v>19.583236020421261</v>
      </c>
      <c r="AH52" s="304">
        <f t="shared" ca="1" si="28"/>
        <v>29.159465450244483</v>
      </c>
    </row>
    <row r="53" spans="1:34" x14ac:dyDescent="0.2">
      <c r="A53" s="347">
        <f t="shared" ca="1" si="6"/>
        <v>0.01</v>
      </c>
      <c r="B53" s="304">
        <f t="shared" ca="1" si="7"/>
        <v>3.6899999999999897</v>
      </c>
      <c r="D53" s="306">
        <f t="shared" ca="1" si="8"/>
        <v>6.2590864786667284</v>
      </c>
      <c r="E53" s="307">
        <f t="shared" ca="1" si="9"/>
        <v>18.330620331162272</v>
      </c>
      <c r="F53" s="304">
        <f t="shared" ca="1" si="10"/>
        <v>19.369765235351931</v>
      </c>
      <c r="G53" s="306">
        <f t="shared" ca="1" si="11"/>
        <v>41.210053538233183</v>
      </c>
      <c r="H53" s="307">
        <f t="shared" ca="1" si="12"/>
        <v>185.18077007135869</v>
      </c>
      <c r="I53" s="304">
        <f t="shared" ca="1" si="13"/>
        <v>189.71079599444377</v>
      </c>
      <c r="J53" s="306">
        <f t="shared" ca="1" si="14"/>
        <v>119.86132036273816</v>
      </c>
      <c r="K53" s="307">
        <f t="shared" ca="1" si="15"/>
        <v>585.07661758015252</v>
      </c>
      <c r="L53" s="304">
        <f t="shared" ca="1" si="0"/>
        <v>597.22808420077752</v>
      </c>
      <c r="M53" s="306">
        <f t="shared" ca="1" si="16"/>
        <v>1.3518249638482005</v>
      </c>
      <c r="N53" s="304">
        <f t="shared" ca="1" si="17"/>
        <v>77.453865068926973</v>
      </c>
      <c r="P53" s="310">
        <f t="shared" ca="1" si="18"/>
        <v>3</v>
      </c>
      <c r="Q53" s="304">
        <f t="shared" ca="1" si="19"/>
        <v>171.63793103448364</v>
      </c>
      <c r="R53" s="306">
        <f t="shared" ca="1" si="20"/>
        <v>9.1096795747030057E-2</v>
      </c>
      <c r="S53" s="307">
        <f t="shared" ca="1" si="21"/>
        <v>3.0056084434825556</v>
      </c>
      <c r="T53" s="304">
        <f t="shared" ca="1" si="1"/>
        <v>29.485018830563874</v>
      </c>
      <c r="U53" s="311">
        <f t="shared" ca="1" si="2"/>
        <v>0</v>
      </c>
      <c r="V53" s="306">
        <f t="shared" ca="1" si="3"/>
        <v>1.1553651990370937</v>
      </c>
      <c r="W53" s="304">
        <f t="shared" ca="1" si="4"/>
        <v>85.148351422151833</v>
      </c>
      <c r="Y53" s="314" t="str">
        <f t="shared" ca="1" si="22"/>
        <v/>
      </c>
      <c r="Z53" s="315" t="str">
        <f t="shared" ca="1" si="23"/>
        <v/>
      </c>
      <c r="AA53" s="316" t="str">
        <f t="shared" ca="1" si="24"/>
        <v/>
      </c>
      <c r="AC53" s="310" t="e">
        <f t="shared" ca="1" si="25"/>
        <v>#N/A</v>
      </c>
      <c r="AD53" s="323" t="e">
        <f t="shared" ca="1" si="26"/>
        <v>#N/A</v>
      </c>
      <c r="AE53" s="324">
        <f t="shared" ca="1" si="5"/>
        <v>585.07661758015252</v>
      </c>
      <c r="AG53" s="306">
        <f t="shared" ca="1" si="27"/>
        <v>19.25230620883195</v>
      </c>
      <c r="AH53" s="304">
        <f t="shared" ca="1" si="28"/>
        <v>28.828296449323055</v>
      </c>
    </row>
    <row r="54" spans="1:34" x14ac:dyDescent="0.2">
      <c r="A54" s="347">
        <f t="shared" ca="1" si="6"/>
        <v>0.01</v>
      </c>
      <c r="B54" s="304">
        <f t="shared" ca="1" si="7"/>
        <v>3.6999999999999895</v>
      </c>
      <c r="D54" s="306">
        <f t="shared" ca="1" si="8"/>
        <v>6.1904616501191105</v>
      </c>
      <c r="E54" s="307">
        <f t="shared" ca="1" si="9"/>
        <v>18.007349336921514</v>
      </c>
      <c r="F54" s="304">
        <f t="shared" ca="1" si="10"/>
        <v>19.041702801575365</v>
      </c>
      <c r="G54" s="306">
        <f t="shared" ca="1" si="11"/>
        <v>41.271958154734371</v>
      </c>
      <c r="H54" s="307">
        <f t="shared" ca="1" si="12"/>
        <v>185.3608435647279</v>
      </c>
      <c r="I54" s="304">
        <f t="shared" ca="1" si="13"/>
        <v>189.90001805411623</v>
      </c>
      <c r="J54" s="306">
        <f t="shared" ca="1" si="14"/>
        <v>120.273730421203</v>
      </c>
      <c r="K54" s="307">
        <f t="shared" ca="1" si="15"/>
        <v>586.92932564833291</v>
      </c>
      <c r="L54" s="304">
        <f t="shared" ca="1" si="0"/>
        <v>599.12586618793136</v>
      </c>
      <c r="M54" s="306">
        <f t="shared" ca="1" si="16"/>
        <v>1.3517127477575694</v>
      </c>
      <c r="N54" s="304">
        <f t="shared" ca="1" si="17"/>
        <v>77.447435560540356</v>
      </c>
      <c r="P54" s="310">
        <f t="shared" ca="1" si="18"/>
        <v>3</v>
      </c>
      <c r="Q54" s="304">
        <f t="shared" ca="1" si="19"/>
        <v>170.77586206896643</v>
      </c>
      <c r="R54" s="306">
        <f t="shared" ca="1" si="20"/>
        <v>9.0639252825146455E-2</v>
      </c>
      <c r="S54" s="307">
        <f t="shared" ca="1" si="21"/>
        <v>3.0047020509543043</v>
      </c>
      <c r="T54" s="304">
        <f t="shared" ca="1" si="1"/>
        <v>29.476127119861726</v>
      </c>
      <c r="U54" s="311">
        <f t="shared" ca="1" si="2"/>
        <v>0</v>
      </c>
      <c r="V54" s="306">
        <f t="shared" ca="1" si="3"/>
        <v>1.1551509795321004</v>
      </c>
      <c r="W54" s="304">
        <f t="shared" ca="1" si="4"/>
        <v>85.302475009376465</v>
      </c>
      <c r="Y54" s="314" t="str">
        <f t="shared" ca="1" si="22"/>
        <v/>
      </c>
      <c r="Z54" s="315" t="str">
        <f t="shared" ca="1" si="23"/>
        <v/>
      </c>
      <c r="AA54" s="316" t="str">
        <f t="shared" ca="1" si="24"/>
        <v/>
      </c>
      <c r="AC54" s="310" t="e">
        <f t="shared" ca="1" si="25"/>
        <v>#N/A</v>
      </c>
      <c r="AD54" s="323" t="e">
        <f t="shared" ca="1" si="26"/>
        <v>#N/A</v>
      </c>
      <c r="AE54" s="324">
        <f t="shared" ca="1" si="5"/>
        <v>586.92932564833291</v>
      </c>
      <c r="AG54" s="306">
        <f t="shared" ca="1" si="27"/>
        <v>18.922086401914733</v>
      </c>
      <c r="AH54" s="304">
        <f t="shared" ca="1" si="28"/>
        <v>28.497837454338939</v>
      </c>
    </row>
    <row r="55" spans="1:34" x14ac:dyDescent="0.2">
      <c r="A55" s="347">
        <f t="shared" ca="1" si="6"/>
        <v>0.01</v>
      </c>
      <c r="B55" s="304">
        <f t="shared" ca="1" si="7"/>
        <v>3.7099999999999893</v>
      </c>
      <c r="D55" s="306">
        <f t="shared" ca="1" si="8"/>
        <v>6.1219176368684582</v>
      </c>
      <c r="E55" s="307">
        <f t="shared" ca="1" si="9"/>
        <v>17.684789880076288</v>
      </c>
      <c r="F55" s="304">
        <f t="shared" ca="1" si="10"/>
        <v>18.714424080239546</v>
      </c>
      <c r="G55" s="306">
        <f t="shared" ca="1" si="11"/>
        <v>41.333177331103059</v>
      </c>
      <c r="H55" s="307">
        <f t="shared" ca="1" si="12"/>
        <v>185.53769146352866</v>
      </c>
      <c r="I55" s="304">
        <f t="shared" ca="1" si="13"/>
        <v>190.08594504039473</v>
      </c>
      <c r="J55" s="306">
        <f t="shared" ca="1" si="14"/>
        <v>120.68675609863219</v>
      </c>
      <c r="K55" s="307">
        <f t="shared" ca="1" si="15"/>
        <v>588.78381832347418</v>
      </c>
      <c r="L55" s="304">
        <f t="shared" ca="1" si="0"/>
        <v>601.02552176856898</v>
      </c>
      <c r="M55" s="306">
        <f t="shared" ca="1" si="16"/>
        <v>1.3516005848986505</v>
      </c>
      <c r="N55" s="304">
        <f t="shared" ca="1" si="17"/>
        <v>77.441009102106193</v>
      </c>
      <c r="P55" s="310">
        <f t="shared" ca="1" si="18"/>
        <v>3</v>
      </c>
      <c r="Q55" s="304">
        <f t="shared" ca="1" si="19"/>
        <v>169.91379310344919</v>
      </c>
      <c r="R55" s="306">
        <f t="shared" ca="1" si="20"/>
        <v>9.0181709903262838E-2</v>
      </c>
      <c r="S55" s="307">
        <f t="shared" ca="1" si="21"/>
        <v>3.0038002338552716</v>
      </c>
      <c r="T55" s="304">
        <f t="shared" ca="1" si="1"/>
        <v>29.467280294120215</v>
      </c>
      <c r="U55" s="311">
        <f t="shared" ca="1" si="2"/>
        <v>0</v>
      </c>
      <c r="V55" s="306">
        <f t="shared" ca="1" si="3"/>
        <v>1.154936592291153</v>
      </c>
      <c r="W55" s="304">
        <f t="shared" ca="1" si="4"/>
        <v>85.453729877118235</v>
      </c>
      <c r="Y55" s="314" t="str">
        <f t="shared" ca="1" si="22"/>
        <v/>
      </c>
      <c r="Z55" s="315" t="str">
        <f t="shared" ca="1" si="23"/>
        <v/>
      </c>
      <c r="AA55" s="316" t="str">
        <f t="shared" ca="1" si="24"/>
        <v/>
      </c>
      <c r="AC55" s="310" t="e">
        <f t="shared" ca="1" si="25"/>
        <v>#N/A</v>
      </c>
      <c r="AD55" s="323" t="e">
        <f t="shared" ca="1" si="26"/>
        <v>#N/A</v>
      </c>
      <c r="AE55" s="324">
        <f t="shared" ca="1" si="5"/>
        <v>588.78381832347418</v>
      </c>
      <c r="AG55" s="306">
        <f t="shared" ca="1" si="27"/>
        <v>18.592579058972539</v>
      </c>
      <c r="AH55" s="304">
        <f t="shared" ca="1" si="28"/>
        <v>28.168090920439504</v>
      </c>
    </row>
    <row r="56" spans="1:34" x14ac:dyDescent="0.2">
      <c r="A56" s="347">
        <f t="shared" ca="1" si="6"/>
        <v>0.01</v>
      </c>
      <c r="B56" s="304">
        <f t="shared" ca="1" si="7"/>
        <v>3.7199999999999891</v>
      </c>
      <c r="D56" s="306">
        <f t="shared" ca="1" si="8"/>
        <v>6.0534553021904935</v>
      </c>
      <c r="E56" s="307">
        <f t="shared" ca="1" si="9"/>
        <v>17.362944222241531</v>
      </c>
      <c r="F56" s="304">
        <f t="shared" ca="1" si="10"/>
        <v>18.387934989016269</v>
      </c>
      <c r="G56" s="306">
        <f t="shared" ca="1" si="11"/>
        <v>41.393711884124961</v>
      </c>
      <c r="H56" s="307">
        <f t="shared" ca="1" si="12"/>
        <v>185.71132090575108</v>
      </c>
      <c r="I56" s="304">
        <f t="shared" ca="1" si="13"/>
        <v>190.26858410180279</v>
      </c>
      <c r="J56" s="306">
        <f t="shared" ca="1" si="14"/>
        <v>121.10039054470833</v>
      </c>
      <c r="K56" s="307">
        <f t="shared" ca="1" si="15"/>
        <v>590.64006338532056</v>
      </c>
      <c r="L56" s="304">
        <f t="shared" ca="1" si="0"/>
        <v>602.92701802614249</v>
      </c>
      <c r="M56" s="306">
        <f t="shared" ca="1" si="16"/>
        <v>1.3514884732583057</v>
      </c>
      <c r="N56" s="304">
        <f t="shared" ca="1" si="17"/>
        <v>77.434585578280135</v>
      </c>
      <c r="P56" s="310">
        <f t="shared" ca="1" si="18"/>
        <v>3</v>
      </c>
      <c r="Q56" s="304">
        <f t="shared" ca="1" si="19"/>
        <v>169.05172413793198</v>
      </c>
      <c r="R56" s="306">
        <f t="shared" ca="1" si="20"/>
        <v>8.9724166981379222E-2</v>
      </c>
      <c r="S56" s="307">
        <f t="shared" ca="1" si="21"/>
        <v>3.002902992185458</v>
      </c>
      <c r="T56" s="304">
        <f t="shared" ca="1" si="1"/>
        <v>29.458478353339345</v>
      </c>
      <c r="U56" s="311">
        <f t="shared" ca="1" si="2"/>
        <v>0</v>
      </c>
      <c r="V56" s="306">
        <f t="shared" ca="1" si="3"/>
        <v>1.1547220411391079</v>
      </c>
      <c r="W56" s="304">
        <f t="shared" ca="1" si="4"/>
        <v>85.60211553212585</v>
      </c>
      <c r="Y56" s="314" t="str">
        <f t="shared" ca="1" si="22"/>
        <v/>
      </c>
      <c r="Z56" s="315" t="str">
        <f t="shared" ca="1" si="23"/>
        <v/>
      </c>
      <c r="AA56" s="316" t="str">
        <f t="shared" ca="1" si="24"/>
        <v/>
      </c>
      <c r="AC56" s="310" t="e">
        <f t="shared" ca="1" si="25"/>
        <v>#N/A</v>
      </c>
      <c r="AD56" s="323" t="e">
        <f t="shared" ca="1" si="26"/>
        <v>#N/A</v>
      </c>
      <c r="AE56" s="324">
        <f t="shared" ca="1" si="5"/>
        <v>590.64006338532056</v>
      </c>
      <c r="AG56" s="306">
        <f t="shared" ca="1" si="27"/>
        <v>18.263786566325514</v>
      </c>
      <c r="AH56" s="304">
        <f t="shared" ca="1" si="28"/>
        <v>27.839059229806374</v>
      </c>
    </row>
    <row r="57" spans="1:34" x14ac:dyDescent="0.2">
      <c r="A57" s="347">
        <f t="shared" ca="1" si="6"/>
        <v>0.01</v>
      </c>
      <c r="B57" s="304">
        <f t="shared" ca="1" si="7"/>
        <v>3.7299999999999889</v>
      </c>
      <c r="D57" s="306">
        <f t="shared" ca="1" si="8"/>
        <v>5.9850754914725171</v>
      </c>
      <c r="E57" s="307">
        <f t="shared" ca="1" si="9"/>
        <v>17.04181455467085</v>
      </c>
      <c r="F57" s="304">
        <f t="shared" ca="1" si="10"/>
        <v>18.062241609346728</v>
      </c>
      <c r="G57" s="306">
        <f t="shared" ca="1" si="11"/>
        <v>41.453562639039689</v>
      </c>
      <c r="H57" s="307">
        <f t="shared" ca="1" si="12"/>
        <v>185.88173905129779</v>
      </c>
      <c r="I57" s="304">
        <f t="shared" ca="1" si="13"/>
        <v>190.4479424100023</v>
      </c>
      <c r="J57" s="306">
        <f t="shared" ca="1" si="14"/>
        <v>121.51462691732415</v>
      </c>
      <c r="K57" s="307">
        <f t="shared" ca="1" si="15"/>
        <v>592.49802868510585</v>
      </c>
      <c r="L57" s="304">
        <f t="shared" ca="1" si="0"/>
        <v>604.83032211570958</v>
      </c>
      <c r="M57" s="306">
        <f t="shared" ca="1" si="16"/>
        <v>1.3513764108350479</v>
      </c>
      <c r="N57" s="304">
        <f t="shared" ca="1" si="17"/>
        <v>77.428164874385459</v>
      </c>
      <c r="P57" s="310">
        <f t="shared" ca="1" si="18"/>
        <v>3</v>
      </c>
      <c r="Q57" s="304">
        <f t="shared" ca="1" si="19"/>
        <v>168.18965517241475</v>
      </c>
      <c r="R57" s="306">
        <f t="shared" ca="1" si="20"/>
        <v>8.9266624059495606E-2</v>
      </c>
      <c r="S57" s="307">
        <f t="shared" ca="1" si="21"/>
        <v>3.0020103259448629</v>
      </c>
      <c r="T57" s="304">
        <f t="shared" ca="1" si="1"/>
        <v>29.449721297519108</v>
      </c>
      <c r="U57" s="311">
        <f t="shared" ca="1" si="2"/>
        <v>0</v>
      </c>
      <c r="V57" s="306">
        <f t="shared" ca="1" si="3"/>
        <v>1.1545073298899231</v>
      </c>
      <c r="W57" s="304">
        <f t="shared" ca="1" si="4"/>
        <v>85.747631685686684</v>
      </c>
      <c r="Y57" s="314" t="str">
        <f t="shared" ca="1" si="22"/>
        <v/>
      </c>
      <c r="Z57" s="315" t="str">
        <f t="shared" ca="1" si="23"/>
        <v/>
      </c>
      <c r="AA57" s="316" t="str">
        <f t="shared" ca="1" si="24"/>
        <v/>
      </c>
      <c r="AC57" s="310" t="e">
        <f t="shared" ca="1" si="25"/>
        <v>#N/A</v>
      </c>
      <c r="AD57" s="323" t="e">
        <f t="shared" ca="1" si="26"/>
        <v>#N/A</v>
      </c>
      <c r="AE57" s="324">
        <f t="shared" ca="1" si="5"/>
        <v>592.49802868510585</v>
      </c>
      <c r="AG57" s="306">
        <f t="shared" ca="1" si="27"/>
        <v>17.935711237813294</v>
      </c>
      <c r="AH57" s="304">
        <f t="shared" ca="1" si="28"/>
        <v>27.51074469215725</v>
      </c>
    </row>
    <row r="58" spans="1:34" x14ac:dyDescent="0.2">
      <c r="A58" s="347">
        <f t="shared" ca="1" si="6"/>
        <v>0.01</v>
      </c>
      <c r="B58" s="304">
        <f t="shared" ca="1" si="7"/>
        <v>3.7399999999999887</v>
      </c>
      <c r="D58" s="306">
        <f t="shared" ca="1" si="8"/>
        <v>5.9167790323223555</v>
      </c>
      <c r="E58" s="307">
        <f t="shared" ca="1" si="9"/>
        <v>16.721402998751088</v>
      </c>
      <c r="F58" s="304">
        <f t="shared" ca="1" si="10"/>
        <v>17.737350206949497</v>
      </c>
      <c r="G58" s="306">
        <f t="shared" ca="1" si="11"/>
        <v>41.512730429362911</v>
      </c>
      <c r="H58" s="307">
        <f t="shared" ca="1" si="12"/>
        <v>186.0489530812853</v>
      </c>
      <c r="I58" s="304">
        <f t="shared" ca="1" si="13"/>
        <v>190.62402715907365</v>
      </c>
      <c r="J58" s="306">
        <f t="shared" ca="1" si="14"/>
        <v>121.92945838266617</v>
      </c>
      <c r="K58" s="307">
        <f t="shared" ca="1" si="15"/>
        <v>594.35768214576876</v>
      </c>
      <c r="L58" s="304">
        <f t="shared" ca="1" si="0"/>
        <v>606.7354012641598</v>
      </c>
      <c r="M58" s="306">
        <f t="shared" ca="1" si="16"/>
        <v>1.3512643956388022</v>
      </c>
      <c r="N58" s="304">
        <f t="shared" ca="1" si="17"/>
        <v>77.421746876399254</v>
      </c>
      <c r="P58" s="310">
        <f t="shared" ca="1" si="18"/>
        <v>3</v>
      </c>
      <c r="Q58" s="304">
        <f t="shared" ca="1" si="19"/>
        <v>167.32758620689754</v>
      </c>
      <c r="R58" s="306">
        <f t="shared" ca="1" si="20"/>
        <v>8.8809081137611989E-2</v>
      </c>
      <c r="S58" s="307">
        <f t="shared" ca="1" si="21"/>
        <v>3.001122235133487</v>
      </c>
      <c r="T58" s="304">
        <f t="shared" ca="1" si="1"/>
        <v>29.441009126659509</v>
      </c>
      <c r="U58" s="311">
        <f t="shared" ca="1" si="2"/>
        <v>0</v>
      </c>
      <c r="V58" s="306">
        <f t="shared" ca="1" si="3"/>
        <v>1.1542924623466377</v>
      </c>
      <c r="W58" s="304">
        <f t="shared" ca="1" si="4"/>
        <v>85.890278251680897</v>
      </c>
      <c r="Y58" s="314" t="str">
        <f t="shared" ca="1" si="22"/>
        <v/>
      </c>
      <c r="Z58" s="315" t="str">
        <f t="shared" ca="1" si="23"/>
        <v/>
      </c>
      <c r="AA58" s="316" t="str">
        <f t="shared" ca="1" si="24"/>
        <v/>
      </c>
      <c r="AC58" s="310" t="e">
        <f t="shared" ca="1" si="25"/>
        <v>#N/A</v>
      </c>
      <c r="AD58" s="323" t="e">
        <f t="shared" ca="1" si="26"/>
        <v>#N/A</v>
      </c>
      <c r="AE58" s="324">
        <f t="shared" ca="1" si="5"/>
        <v>594.35768214576876</v>
      </c>
      <c r="AG58" s="306">
        <f t="shared" ca="1" si="27"/>
        <v>17.608355315300301</v>
      </c>
      <c r="AH58" s="304">
        <f t="shared" ca="1" si="28"/>
        <v>27.183149545250782</v>
      </c>
    </row>
    <row r="59" spans="1:34" x14ac:dyDescent="0.2">
      <c r="A59" s="347">
        <f t="shared" ca="1" si="6"/>
        <v>0.01</v>
      </c>
      <c r="B59" s="304">
        <f t="shared" ca="1" si="7"/>
        <v>3.7499999999999885</v>
      </c>
      <c r="D59" s="306">
        <f t="shared" ca="1" si="8"/>
        <v>5.8485667346776573</v>
      </c>
      <c r="E59" s="307">
        <f t="shared" ca="1" si="9"/>
        <v>16.401711606499312</v>
      </c>
      <c r="F59" s="304">
        <f t="shared" ca="1" si="10"/>
        <v>17.413267254388312</v>
      </c>
      <c r="G59" s="306">
        <f t="shared" ca="1" si="11"/>
        <v>41.571216096709691</v>
      </c>
      <c r="H59" s="307">
        <f t="shared" ca="1" si="12"/>
        <v>186.2129701973503</v>
      </c>
      <c r="I59" s="304">
        <f t="shared" ca="1" si="13"/>
        <v>190.79684556480123</v>
      </c>
      <c r="J59" s="306">
        <f t="shared" ca="1" si="14"/>
        <v>122.34487811529654</v>
      </c>
      <c r="K59" s="307">
        <f t="shared" ca="1" si="15"/>
        <v>596.21899176216198</v>
      </c>
      <c r="L59" s="304">
        <f t="shared" ca="1" si="0"/>
        <v>608.64222277043496</v>
      </c>
      <c r="M59" s="306">
        <f t="shared" ca="1" si="16"/>
        <v>1.3511524256906688</v>
      </c>
      <c r="N59" s="304">
        <f t="shared" ca="1" si="17"/>
        <v>77.415331470938909</v>
      </c>
      <c r="P59" s="310">
        <f t="shared" ca="1" si="18"/>
        <v>3</v>
      </c>
      <c r="Q59" s="304">
        <f t="shared" ca="1" si="19"/>
        <v>166.46551724138033</v>
      </c>
      <c r="R59" s="306">
        <f t="shared" ca="1" si="20"/>
        <v>8.8351538215728387E-2</v>
      </c>
      <c r="S59" s="307">
        <f t="shared" ca="1" si="21"/>
        <v>3.0002387197513296</v>
      </c>
      <c r="T59" s="304">
        <f t="shared" ca="1" si="1"/>
        <v>29.432341840760547</v>
      </c>
      <c r="U59" s="311">
        <f t="shared" ca="1" si="2"/>
        <v>0</v>
      </c>
      <c r="V59" s="306">
        <f t="shared" ca="1" si="3"/>
        <v>1.1540774423013493</v>
      </c>
      <c r="W59" s="304">
        <f t="shared" ca="1" si="4"/>
        <v>86.030055344635301</v>
      </c>
      <c r="Y59" s="314" t="str">
        <f t="shared" ca="1" si="22"/>
        <v/>
      </c>
      <c r="Z59" s="315" t="str">
        <f t="shared" ca="1" si="23"/>
        <v/>
      </c>
      <c r="AA59" s="316" t="str">
        <f t="shared" ca="1" si="24"/>
        <v/>
      </c>
      <c r="AC59" s="310" t="e">
        <f t="shared" ca="1" si="25"/>
        <v>#N/A</v>
      </c>
      <c r="AD59" s="323" t="e">
        <f t="shared" ca="1" si="26"/>
        <v>#N/A</v>
      </c>
      <c r="AE59" s="324">
        <f t="shared" ca="1" si="5"/>
        <v>596.21899176216198</v>
      </c>
      <c r="AG59" s="306">
        <f t="shared" ca="1" si="27"/>
        <v>17.281720969183539</v>
      </c>
      <c r="AH59" s="304">
        <f t="shared" ca="1" si="28"/>
        <v>26.856275955393905</v>
      </c>
    </row>
    <row r="60" spans="1:34" x14ac:dyDescent="0.2">
      <c r="A60" s="347">
        <f t="shared" ca="1" si="6"/>
        <v>0.01</v>
      </c>
      <c r="B60" s="304">
        <f t="shared" ca="1" si="7"/>
        <v>3.7599999999999882</v>
      </c>
      <c r="D60" s="306">
        <f t="shared" ca="1" si="8"/>
        <v>5.7804393909156051</v>
      </c>
      <c r="E60" s="307">
        <f t="shared" ca="1" si="9"/>
        <v>16.082742361062479</v>
      </c>
      <c r="F60" s="304">
        <f t="shared" ca="1" si="10"/>
        <v>17.089999455949737</v>
      </c>
      <c r="G60" s="306">
        <f t="shared" ca="1" si="11"/>
        <v>41.629020490618849</v>
      </c>
      <c r="H60" s="307">
        <f t="shared" ca="1" si="12"/>
        <v>186.37379762096091</v>
      </c>
      <c r="I60" s="304">
        <f t="shared" ca="1" si="13"/>
        <v>190.96640486396359</v>
      </c>
      <c r="J60" s="306">
        <f t="shared" ca="1" si="14"/>
        <v>122.76087929823318</v>
      </c>
      <c r="K60" s="307">
        <f t="shared" ca="1" si="15"/>
        <v>598.08192560125349</v>
      </c>
      <c r="L60" s="304">
        <f t="shared" ca="1" si="0"/>
        <v>610.55075400574083</v>
      </c>
      <c r="M60" s="306">
        <f t="shared" ca="1" si="16"/>
        <v>1.3510404990226905</v>
      </c>
      <c r="N60" s="304">
        <f t="shared" ca="1" si="17"/>
        <v>77.408918545248795</v>
      </c>
      <c r="P60" s="310">
        <f t="shared" ca="1" si="18"/>
        <v>3</v>
      </c>
      <c r="Q60" s="304">
        <f t="shared" ca="1" si="19"/>
        <v>165.60344827586309</v>
      </c>
      <c r="R60" s="306">
        <f t="shared" ca="1" si="20"/>
        <v>8.7893995293844757E-2</v>
      </c>
      <c r="S60" s="307">
        <f t="shared" ca="1" si="21"/>
        <v>2.9993597797983913</v>
      </c>
      <c r="T60" s="304">
        <f t="shared" ca="1" si="1"/>
        <v>29.423719439822221</v>
      </c>
      <c r="U60" s="311">
        <f t="shared" ca="1" si="2"/>
        <v>0</v>
      </c>
      <c r="V60" s="306">
        <f t="shared" ca="1" si="3"/>
        <v>1.1538622735351947</v>
      </c>
      <c r="W60" s="304">
        <f t="shared" ca="1" si="4"/>
        <v>86.166963277777143</v>
      </c>
      <c r="Y60" s="314" t="str">
        <f t="shared" ca="1" si="22"/>
        <v/>
      </c>
      <c r="Z60" s="315" t="str">
        <f t="shared" ca="1" si="23"/>
        <v/>
      </c>
      <c r="AA60" s="316" t="str">
        <f t="shared" ca="1" si="24"/>
        <v/>
      </c>
      <c r="AC60" s="310" t="e">
        <f t="shared" ca="1" si="25"/>
        <v>#N/A</v>
      </c>
      <c r="AD60" s="323" t="e">
        <f t="shared" ca="1" si="26"/>
        <v>#N/A</v>
      </c>
      <c r="AE60" s="324">
        <f t="shared" ca="1" si="5"/>
        <v>598.08192560125349</v>
      </c>
      <c r="AG60" s="306">
        <f t="shared" ca="1" si="27"/>
        <v>16.955810298903081</v>
      </c>
      <c r="AH60" s="304">
        <f t="shared" ca="1" si="28"/>
        <v>26.530126017951901</v>
      </c>
    </row>
    <row r="61" spans="1:34" x14ac:dyDescent="0.2">
      <c r="A61" s="347">
        <f t="shared" ca="1" si="6"/>
        <v>0.01</v>
      </c>
      <c r="B61" s="304">
        <f t="shared" ca="1" si="7"/>
        <v>3.769999999999988</v>
      </c>
      <c r="D61" s="306">
        <f t="shared" ca="1" si="8"/>
        <v>5.712397775962974</v>
      </c>
      <c r="E61" s="307">
        <f t="shared" ca="1" si="9"/>
        <v>15.764497177219658</v>
      </c>
      <c r="F61" s="304">
        <f t="shared" ca="1" si="10"/>
        <v>16.767553775115598</v>
      </c>
      <c r="G61" s="306">
        <f t="shared" ca="1" si="11"/>
        <v>41.68614446837848</v>
      </c>
      <c r="H61" s="307">
        <f t="shared" ca="1" si="12"/>
        <v>186.5314425927331</v>
      </c>
      <c r="I61" s="304">
        <f t="shared" ca="1" si="13"/>
        <v>191.13271231362936</v>
      </c>
      <c r="J61" s="306">
        <f t="shared" ca="1" si="14"/>
        <v>123.17745512302817</v>
      </c>
      <c r="K61" s="307">
        <f t="shared" ca="1" si="15"/>
        <v>599.94645180232192</v>
      </c>
      <c r="L61" s="304">
        <f t="shared" ca="1" si="0"/>
        <v>612.46096241375369</v>
      </c>
      <c r="M61" s="306">
        <f t="shared" ca="1" si="16"/>
        <v>1.3509286136776231</v>
      </c>
      <c r="N61" s="304">
        <f t="shared" ca="1" si="17"/>
        <v>77.402507987187064</v>
      </c>
      <c r="P61" s="310">
        <f t="shared" ca="1" si="18"/>
        <v>3</v>
      </c>
      <c r="Q61" s="304">
        <f t="shared" ca="1" si="19"/>
        <v>164.74137931034588</v>
      </c>
      <c r="R61" s="306">
        <f t="shared" ca="1" si="20"/>
        <v>8.7436452371961154E-2</v>
      </c>
      <c r="S61" s="307">
        <f t="shared" ca="1" si="21"/>
        <v>2.9984854152746716</v>
      </c>
      <c r="T61" s="304">
        <f t="shared" ca="1" si="1"/>
        <v>29.41514192384453</v>
      </c>
      <c r="U61" s="311">
        <f t="shared" ca="1" si="2"/>
        <v>0</v>
      </c>
      <c r="V61" s="306">
        <f t="shared" ca="1" si="3"/>
        <v>1.1536469598183305</v>
      </c>
      <c r="W61" s="304">
        <f t="shared" ca="1" si="4"/>
        <v>86.30100256108912</v>
      </c>
      <c r="Y61" s="314" t="str">
        <f t="shared" ca="1" si="22"/>
        <v/>
      </c>
      <c r="Z61" s="315" t="str">
        <f t="shared" ca="1" si="23"/>
        <v/>
      </c>
      <c r="AA61" s="316" t="str">
        <f t="shared" ca="1" si="24"/>
        <v/>
      </c>
      <c r="AC61" s="310" t="e">
        <f t="shared" ca="1" si="25"/>
        <v>#N/A</v>
      </c>
      <c r="AD61" s="323" t="e">
        <f t="shared" ca="1" si="26"/>
        <v>#N/A</v>
      </c>
      <c r="AE61" s="324">
        <f t="shared" ca="1" si="5"/>
        <v>599.94645180232192</v>
      </c>
      <c r="AG61" s="306">
        <f t="shared" ca="1" si="27"/>
        <v>16.630625333455086</v>
      </c>
      <c r="AH61" s="304">
        <f t="shared" ca="1" si="28"/>
        <v>26.204701757860992</v>
      </c>
    </row>
    <row r="62" spans="1:34" x14ac:dyDescent="0.2">
      <c r="A62" s="347">
        <f t="shared" ca="1" si="6"/>
        <v>0.01</v>
      </c>
      <c r="B62" s="304">
        <f t="shared" ca="1" si="7"/>
        <v>3.7799999999999878</v>
      </c>
      <c r="D62" s="306">
        <f t="shared" ca="1" si="8"/>
        <v>5.6444426474064393</v>
      </c>
      <c r="E62" s="307">
        <f t="shared" ca="1" si="9"/>
        <v>15.446977901886148</v>
      </c>
      <c r="F62" s="304">
        <f t="shared" ca="1" si="10"/>
        <v>16.445937464955279</v>
      </c>
      <c r="G62" s="306">
        <f t="shared" ca="1" si="11"/>
        <v>41.742588894852545</v>
      </c>
      <c r="H62" s="307">
        <f t="shared" ca="1" si="12"/>
        <v>186.68591237175195</v>
      </c>
      <c r="I62" s="304">
        <f t="shared" ca="1" si="13"/>
        <v>191.29577519045768</v>
      </c>
      <c r="J62" s="306">
        <f t="shared" ca="1" si="14"/>
        <v>123.59459878984433</v>
      </c>
      <c r="K62" s="307">
        <f t="shared" ca="1" si="15"/>
        <v>601.81253857714432</v>
      </c>
      <c r="L62" s="304">
        <f t="shared" ca="1" si="0"/>
        <v>614.37281551081787</v>
      </c>
      <c r="M62" s="306">
        <f t="shared" ca="1" si="16"/>
        <v>1.3508167677087084</v>
      </c>
      <c r="N62" s="304">
        <f t="shared" ca="1" si="17"/>
        <v>77.396099685212704</v>
      </c>
      <c r="P62" s="310">
        <f t="shared" ca="1" si="18"/>
        <v>3</v>
      </c>
      <c r="Q62" s="304">
        <f t="shared" ca="1" si="19"/>
        <v>163.87931034482864</v>
      </c>
      <c r="R62" s="306">
        <f t="shared" ca="1" si="20"/>
        <v>8.6978909450077538E-2</v>
      </c>
      <c r="S62" s="307">
        <f t="shared" ca="1" si="21"/>
        <v>2.997615626180171</v>
      </c>
      <c r="T62" s="304">
        <f t="shared" ca="1" si="1"/>
        <v>29.406609292827479</v>
      </c>
      <c r="U62" s="311">
        <f t="shared" ca="1" si="2"/>
        <v>0</v>
      </c>
      <c r="V62" s="306">
        <f t="shared" ca="1" si="3"/>
        <v>1.1534315049099153</v>
      </c>
      <c r="W62" s="304">
        <f t="shared" ca="1" si="4"/>
        <v>86.4321738993645</v>
      </c>
      <c r="Y62" s="314" t="str">
        <f t="shared" ca="1" si="22"/>
        <v/>
      </c>
      <c r="Z62" s="315" t="str">
        <f t="shared" ca="1" si="23"/>
        <v/>
      </c>
      <c r="AA62" s="316" t="str">
        <f t="shared" ca="1" si="24"/>
        <v/>
      </c>
      <c r="AC62" s="310" t="e">
        <f t="shared" ca="1" si="25"/>
        <v>#N/A</v>
      </c>
      <c r="AD62" s="323" t="e">
        <f t="shared" ca="1" si="26"/>
        <v>#N/A</v>
      </c>
      <c r="AE62" s="324">
        <f t="shared" ca="1" si="5"/>
        <v>601.81253857714432</v>
      </c>
      <c r="AG62" s="306">
        <f t="shared" ca="1" si="27"/>
        <v>16.306168031906864</v>
      </c>
      <c r="AH62" s="304">
        <f t="shared" ca="1" si="28"/>
        <v>25.880005130142958</v>
      </c>
    </row>
    <row r="63" spans="1:34" x14ac:dyDescent="0.2">
      <c r="A63" s="347">
        <f t="shared" ca="1" si="6"/>
        <v>0.01</v>
      </c>
      <c r="B63" s="304">
        <f t="shared" ca="1" si="7"/>
        <v>3.7899999999999876</v>
      </c>
      <c r="D63" s="306">
        <f t="shared" ca="1" si="8"/>
        <v>5.5765747456033017</v>
      </c>
      <c r="E63" s="307">
        <f t="shared" ca="1" si="9"/>
        <v>15.130186314620291</v>
      </c>
      <c r="F63" s="304">
        <f t="shared" ca="1" si="10"/>
        <v>16.125158101811707</v>
      </c>
      <c r="G63" s="306">
        <f t="shared" ca="1" si="11"/>
        <v>41.798354642308581</v>
      </c>
      <c r="H63" s="307">
        <f t="shared" ca="1" si="12"/>
        <v>186.83721423489817</v>
      </c>
      <c r="I63" s="304">
        <f t="shared" ca="1" si="13"/>
        <v>191.45560079000415</v>
      </c>
      <c r="J63" s="306">
        <f t="shared" ca="1" si="14"/>
        <v>124.01230350753013</v>
      </c>
      <c r="K63" s="307">
        <f t="shared" ca="1" si="15"/>
        <v>603.68015421017753</v>
      </c>
      <c r="L63" s="304">
        <f t="shared" ca="1" si="0"/>
        <v>616.28628088613777</v>
      </c>
      <c r="M63" s="306">
        <f t="shared" ca="1" si="16"/>
        <v>1.3507049591794509</v>
      </c>
      <c r="N63" s="304">
        <f t="shared" ca="1" si="17"/>
        <v>77.389693528372675</v>
      </c>
      <c r="P63" s="310">
        <f t="shared" ca="1" si="18"/>
        <v>3</v>
      </c>
      <c r="Q63" s="304">
        <f t="shared" ca="1" si="19"/>
        <v>163.01724137931143</v>
      </c>
      <c r="R63" s="306">
        <f t="shared" ca="1" si="20"/>
        <v>8.6521366528193921E-2</v>
      </c>
      <c r="S63" s="307">
        <f t="shared" ca="1" si="21"/>
        <v>2.9967504125148889</v>
      </c>
      <c r="T63" s="304">
        <f t="shared" ca="1" si="1"/>
        <v>29.398121546771062</v>
      </c>
      <c r="U63" s="311">
        <f t="shared" ca="1" si="2"/>
        <v>0</v>
      </c>
      <c r="V63" s="306">
        <f t="shared" ca="1" si="3"/>
        <v>1.1532159125580916</v>
      </c>
      <c r="W63" s="304">
        <f t="shared" ca="1" si="4"/>
        <v>86.56047819026405</v>
      </c>
      <c r="Y63" s="314" t="str">
        <f t="shared" ca="1" si="22"/>
        <v/>
      </c>
      <c r="Z63" s="315" t="str">
        <f t="shared" ca="1" si="23"/>
        <v/>
      </c>
      <c r="AA63" s="316" t="str">
        <f t="shared" ca="1" si="24"/>
        <v/>
      </c>
      <c r="AC63" s="310" t="e">
        <f t="shared" ca="1" si="25"/>
        <v>#N/A</v>
      </c>
      <c r="AD63" s="323" t="e">
        <f t="shared" ca="1" si="26"/>
        <v>#N/A</v>
      </c>
      <c r="AE63" s="324">
        <f t="shared" ca="1" si="5"/>
        <v>603.68015421017753</v>
      </c>
      <c r="AG63" s="306">
        <f t="shared" ca="1" si="27"/>
        <v>15.982440283914485</v>
      </c>
      <c r="AH63" s="304">
        <f t="shared" ca="1" si="28"/>
        <v>25.55603802042237</v>
      </c>
    </row>
    <row r="64" spans="1:34" x14ac:dyDescent="0.2">
      <c r="A64" s="347">
        <f t="shared" ca="1" si="6"/>
        <v>0.01</v>
      </c>
      <c r="B64" s="304">
        <f t="shared" ca="1" si="7"/>
        <v>3.7999999999999874</v>
      </c>
      <c r="D64" s="306">
        <f t="shared" ca="1" si="8"/>
        <v>5.5087947937924167</v>
      </c>
      <c r="E64" s="307">
        <f t="shared" ca="1" si="9"/>
        <v>14.814124128131903</v>
      </c>
      <c r="F64" s="304">
        <f t="shared" ca="1" si="10"/>
        <v>15.80522362270823</v>
      </c>
      <c r="G64" s="306">
        <f t="shared" ca="1" si="11"/>
        <v>41.853442590246509</v>
      </c>
      <c r="H64" s="307">
        <f t="shared" ca="1" si="12"/>
        <v>186.98535547617948</v>
      </c>
      <c r="I64" s="304">
        <f t="shared" ca="1" si="13"/>
        <v>191.61219642603197</v>
      </c>
      <c r="J64" s="306">
        <f t="shared" ca="1" si="14"/>
        <v>124.4305624936929</v>
      </c>
      <c r="K64" s="307">
        <f t="shared" ca="1" si="15"/>
        <v>605.54926705873288</v>
      </c>
      <c r="L64" s="304">
        <f t="shared" ca="1" si="0"/>
        <v>618.20132620196262</v>
      </c>
      <c r="M64" s="306">
        <f t="shared" ca="1" si="16"/>
        <v>1.350593186163396</v>
      </c>
      <c r="N64" s="304">
        <f t="shared" ca="1" si="17"/>
        <v>77.383289406289279</v>
      </c>
      <c r="P64" s="310">
        <f t="shared" ca="1" si="18"/>
        <v>3</v>
      </c>
      <c r="Q64" s="304">
        <f t="shared" ca="1" si="19"/>
        <v>162.15517241379419</v>
      </c>
      <c r="R64" s="306">
        <f t="shared" ca="1" si="20"/>
        <v>8.6063823606310305E-2</v>
      </c>
      <c r="S64" s="307">
        <f t="shared" ca="1" si="21"/>
        <v>2.995889774278826</v>
      </c>
      <c r="T64" s="304">
        <f t="shared" ca="1" si="1"/>
        <v>29.389678685675285</v>
      </c>
      <c r="U64" s="311">
        <f t="shared" ca="1" si="2"/>
        <v>0</v>
      </c>
      <c r="V64" s="306">
        <f t="shared" ca="1" si="3"/>
        <v>1.1530001864999706</v>
      </c>
      <c r="W64" s="304">
        <f t="shared" ca="1" si="4"/>
        <v>86.685916522374086</v>
      </c>
      <c r="Y64" s="314" t="str">
        <f t="shared" ca="1" si="22"/>
        <v/>
      </c>
      <c r="Z64" s="315" t="str">
        <f t="shared" ca="1" si="23"/>
        <v/>
      </c>
      <c r="AA64" s="316" t="str">
        <f t="shared" ca="1" si="24"/>
        <v/>
      </c>
      <c r="AC64" s="310" t="e">
        <f t="shared" ca="1" si="25"/>
        <v>#N/A</v>
      </c>
      <c r="AD64" s="323" t="e">
        <f t="shared" ca="1" si="26"/>
        <v>#N/A</v>
      </c>
      <c r="AE64" s="324">
        <f t="shared" ca="1" si="5"/>
        <v>605.54926705873288</v>
      </c>
      <c r="AG64" s="306">
        <f t="shared" ca="1" si="27"/>
        <v>15.659443910242205</v>
      </c>
      <c r="AH64" s="304">
        <f t="shared" ca="1" si="28"/>
        <v>25.232802245445555</v>
      </c>
    </row>
    <row r="65" spans="1:34" x14ac:dyDescent="0.2">
      <c r="A65" s="347">
        <f t="shared" ca="1" si="6"/>
        <v>0.01</v>
      </c>
      <c r="B65" s="304">
        <f t="shared" ca="1" si="7"/>
        <v>3.8099999999999872</v>
      </c>
      <c r="D65" s="306">
        <f t="shared" ca="1" si="8"/>
        <v>5.4411034982054751</v>
      </c>
      <c r="E65" s="307">
        <f t="shared" ca="1" si="9"/>
        <v>14.498792988792987</v>
      </c>
      <c r="F65" s="304">
        <f t="shared" ca="1" si="10"/>
        <v>15.486142366969785</v>
      </c>
      <c r="G65" s="306">
        <f t="shared" ca="1" si="11"/>
        <v>41.907853625228562</v>
      </c>
      <c r="H65" s="307">
        <f t="shared" ca="1" si="12"/>
        <v>187.1303434060674</v>
      </c>
      <c r="I65" s="304">
        <f t="shared" ca="1" si="13"/>
        <v>191.7655694298283</v>
      </c>
      <c r="J65" s="306">
        <f t="shared" ca="1" si="14"/>
        <v>124.84936897477029</v>
      </c>
      <c r="K65" s="307">
        <f t="shared" ca="1" si="15"/>
        <v>607.41984555314411</v>
      </c>
      <c r="L65" s="304">
        <f t="shared" ca="1" si="0"/>
        <v>620.11791919376412</v>
      </c>
      <c r="M65" s="306">
        <f t="shared" ca="1" si="16"/>
        <v>1.3504814467439128</v>
      </c>
      <c r="N65" s="304">
        <f t="shared" ca="1" si="17"/>
        <v>77.376887209147654</v>
      </c>
      <c r="P65" s="310">
        <f t="shared" ca="1" si="18"/>
        <v>3</v>
      </c>
      <c r="Q65" s="304">
        <f t="shared" ca="1" si="19"/>
        <v>161.29310344827698</v>
      </c>
      <c r="R65" s="306">
        <f t="shared" ca="1" si="20"/>
        <v>8.5606280684426689E-2</v>
      </c>
      <c r="S65" s="307">
        <f t="shared" ca="1" si="21"/>
        <v>2.9950337114719816</v>
      </c>
      <c r="T65" s="304">
        <f t="shared" ca="1" si="1"/>
        <v>29.381280709540142</v>
      </c>
      <c r="U65" s="311">
        <f t="shared" ca="1" si="2"/>
        <v>0</v>
      </c>
      <c r="V65" s="306">
        <f t="shared" ca="1" si="3"/>
        <v>1.1527843304616161</v>
      </c>
      <c r="W65" s="304">
        <f t="shared" ca="1" si="4"/>
        <v>86.808490173267018</v>
      </c>
      <c r="Y65" s="314" t="str">
        <f t="shared" ca="1" si="22"/>
        <v/>
      </c>
      <c r="Z65" s="315" t="str">
        <f t="shared" ca="1" si="23"/>
        <v/>
      </c>
      <c r="AA65" s="316" t="str">
        <f t="shared" ca="1" si="24"/>
        <v/>
      </c>
      <c r="AC65" s="310" t="e">
        <f t="shared" ca="1" si="25"/>
        <v>#N/A</v>
      </c>
      <c r="AD65" s="323" t="e">
        <f t="shared" ca="1" si="26"/>
        <v>#N/A</v>
      </c>
      <c r="AE65" s="324">
        <f t="shared" ca="1" si="5"/>
        <v>607.41984555314411</v>
      </c>
      <c r="AG65" s="306">
        <f t="shared" ca="1" si="27"/>
        <v>15.337180663284073</v>
      </c>
      <c r="AH65" s="304">
        <f t="shared" ca="1" si="28"/>
        <v>24.910299553601817</v>
      </c>
    </row>
    <row r="66" spans="1:34" x14ac:dyDescent="0.2">
      <c r="A66" s="347">
        <f t="shared" ca="1" si="6"/>
        <v>0.01</v>
      </c>
      <c r="B66" s="304">
        <f t="shared" ca="1" si="7"/>
        <v>3.819999999999987</v>
      </c>
      <c r="D66" s="306">
        <f t="shared" ca="1" si="8"/>
        <v>5.3735015481784254</v>
      </c>
      <c r="E66" s="307">
        <f t="shared" ca="1" si="9"/>
        <v>14.184194477149857</v>
      </c>
      <c r="F66" s="304">
        <f t="shared" ca="1" si="10"/>
        <v>15.167923122625735</v>
      </c>
      <c r="G66" s="306">
        <f t="shared" ca="1" si="11"/>
        <v>41.961588640710346</v>
      </c>
      <c r="H66" s="307">
        <f t="shared" ca="1" si="12"/>
        <v>187.2721853508389</v>
      </c>
      <c r="I66" s="304">
        <f t="shared" ca="1" si="13"/>
        <v>191.91572714952557</v>
      </c>
      <c r="J66" s="306">
        <f t="shared" ca="1" si="14"/>
        <v>125.26871618609998</v>
      </c>
      <c r="K66" s="307">
        <f t="shared" ca="1" si="15"/>
        <v>609.29185819692862</v>
      </c>
      <c r="L66" s="304">
        <f t="shared" ca="1" si="0"/>
        <v>622.03602767040741</v>
      </c>
      <c r="M66" s="306">
        <f t="shared" ca="1" si="16"/>
        <v>1.3503697390139779</v>
      </c>
      <c r="N66" s="304">
        <f t="shared" ca="1" si="17"/>
        <v>77.370486827683393</v>
      </c>
      <c r="P66" s="310">
        <f t="shared" ca="1" si="18"/>
        <v>3</v>
      </c>
      <c r="Q66" s="304">
        <f t="shared" ca="1" si="19"/>
        <v>160.43103448275974</v>
      </c>
      <c r="R66" s="306">
        <f t="shared" ca="1" si="20"/>
        <v>8.5148737762543072E-2</v>
      </c>
      <c r="S66" s="307">
        <f t="shared" ca="1" si="21"/>
        <v>2.9941822240943563</v>
      </c>
      <c r="T66" s="304">
        <f t="shared" ca="1" si="1"/>
        <v>29.372927618365637</v>
      </c>
      <c r="U66" s="311">
        <f t="shared" ca="1" si="2"/>
        <v>0</v>
      </c>
      <c r="V66" s="306">
        <f t="shared" ca="1" si="3"/>
        <v>1.1525683481580298</v>
      </c>
      <c r="W66" s="304">
        <f t="shared" ca="1" si="4"/>
        <v>86.928200607563014</v>
      </c>
      <c r="Y66" s="314" t="str">
        <f t="shared" ca="1" si="22"/>
        <v/>
      </c>
      <c r="Z66" s="315" t="str">
        <f t="shared" ca="1" si="23"/>
        <v/>
      </c>
      <c r="AA66" s="316" t="str">
        <f t="shared" ca="1" si="24"/>
        <v/>
      </c>
      <c r="AC66" s="310" t="e">
        <f t="shared" ca="1" si="25"/>
        <v>#N/A</v>
      </c>
      <c r="AD66" s="323" t="e">
        <f t="shared" ca="1" si="26"/>
        <v>#N/A</v>
      </c>
      <c r="AE66" s="324">
        <f t="shared" ca="1" si="5"/>
        <v>609.29185819692862</v>
      </c>
      <c r="AG66" s="306">
        <f t="shared" ca="1" si="27"/>
        <v>15.015652227587038</v>
      </c>
      <c r="AH66" s="304">
        <f t="shared" ca="1" si="28"/>
        <v>24.588531625446134</v>
      </c>
    </row>
    <row r="67" spans="1:34" x14ac:dyDescent="0.2">
      <c r="A67" s="347">
        <f t="shared" ca="1" si="6"/>
        <v>0.01</v>
      </c>
      <c r="B67" s="304">
        <f t="shared" ca="1" si="7"/>
        <v>3.8299999999999867</v>
      </c>
      <c r="D67" s="306">
        <f t="shared" ca="1" si="8"/>
        <v>5.2461612827614026</v>
      </c>
      <c r="E67" s="307">
        <f t="shared" ca="1" si="9"/>
        <v>13.603319656170592</v>
      </c>
      <c r="F67" s="304">
        <f t="shared" ca="1" si="10"/>
        <v>14.579866730279189</v>
      </c>
      <c r="G67" s="306">
        <f t="shared" ca="1" si="11"/>
        <v>42.01405025353796</v>
      </c>
      <c r="H67" s="307">
        <f t="shared" ca="1" si="12"/>
        <v>187.40821854740059</v>
      </c>
      <c r="I67" s="304">
        <f t="shared" ca="1" si="13"/>
        <v>192.05994063785678</v>
      </c>
      <c r="J67" s="306">
        <f t="shared" ca="1" si="14"/>
        <v>125.68859438057122</v>
      </c>
      <c r="K67" s="307">
        <f t="shared" ca="1" si="15"/>
        <v>611.16526021641982</v>
      </c>
      <c r="L67" s="304">
        <f t="shared" ca="1" si="0"/>
        <v>623.95560583487656</v>
      </c>
      <c r="M67" s="306">
        <f t="shared" ca="1" si="16"/>
        <v>1.350258059484869</v>
      </c>
      <c r="N67" s="304">
        <f t="shared" ca="1" si="17"/>
        <v>77.364088062007454</v>
      </c>
      <c r="P67" s="310">
        <f t="shared" ca="1" si="18"/>
        <v>4</v>
      </c>
      <c r="Q67" s="304">
        <f t="shared" ca="1" si="19"/>
        <v>158.75000000000333</v>
      </c>
      <c r="R67" s="306">
        <f t="shared" ca="1" si="20"/>
        <v>8.4256529064871175E-2</v>
      </c>
      <c r="S67" s="307">
        <f t="shared" ca="1" si="21"/>
        <v>2.9933396588037078</v>
      </c>
      <c r="T67" s="304">
        <f t="shared" ca="1" si="1"/>
        <v>29.364662052864375</v>
      </c>
      <c r="U67" s="311">
        <f t="shared" ca="1" si="2"/>
        <v>0</v>
      </c>
      <c r="V67" s="306">
        <f t="shared" ca="1" si="3"/>
        <v>1.1523522448330266</v>
      </c>
      <c r="W67" s="304">
        <f t="shared" ca="1" si="4"/>
        <v>87.042569352221321</v>
      </c>
      <c r="Y67" s="314" t="str">
        <f t="shared" ca="1" si="22"/>
        <v/>
      </c>
      <c r="Z67" s="315" t="str">
        <f t="shared" ca="1" si="23"/>
        <v/>
      </c>
      <c r="AA67" s="316" t="str">
        <f t="shared" ca="1" si="24"/>
        <v/>
      </c>
      <c r="AC67" s="310" t="e">
        <f t="shared" ca="1" si="25"/>
        <v>#N/A</v>
      </c>
      <c r="AD67" s="323" t="e">
        <f t="shared" ca="1" si="26"/>
        <v>#N/A</v>
      </c>
      <c r="AE67" s="324">
        <f t="shared" ca="1" si="5"/>
        <v>611.16526021641982</v>
      </c>
      <c r="AG67" s="306">
        <f t="shared" ca="1" si="27"/>
        <v>14.421229061497401</v>
      </c>
      <c r="AH67" s="304">
        <f t="shared" ca="1" si="28"/>
        <v>23.993868915345207</v>
      </c>
    </row>
    <row r="68" spans="1:34" x14ac:dyDescent="0.2">
      <c r="A68" s="347">
        <f t="shared" ca="1" si="6"/>
        <v>0.01</v>
      </c>
      <c r="B68" s="304">
        <f t="shared" ca="1" si="7"/>
        <v>3.8399999999999865</v>
      </c>
      <c r="D68" s="306">
        <f t="shared" ca="1" si="8"/>
        <v>5.0591181681049919</v>
      </c>
      <c r="E68" s="307">
        <f t="shared" ca="1" si="9"/>
        <v>12.756744162579404</v>
      </c>
      <c r="F68" s="304">
        <f t="shared" ca="1" si="10"/>
        <v>13.723308575862955</v>
      </c>
      <c r="G68" s="306">
        <f t="shared" ca="1" si="11"/>
        <v>42.064641435219009</v>
      </c>
      <c r="H68" s="307">
        <f t="shared" ca="1" si="12"/>
        <v>187.53578598902638</v>
      </c>
      <c r="I68" s="304">
        <f t="shared" ca="1" si="13"/>
        <v>192.1954866421047</v>
      </c>
      <c r="J68" s="306">
        <f t="shared" ca="1" si="14"/>
        <v>126.108987839015</v>
      </c>
      <c r="K68" s="307">
        <f t="shared" ca="1" si="15"/>
        <v>613.03998023910196</v>
      </c>
      <c r="L68" s="304">
        <f t="shared" ref="L68:L131" ca="1" si="29">SQRT(pos_x^2+pos_z^2)</f>
        <v>625.87658063338608</v>
      </c>
      <c r="M68" s="306">
        <f t="shared" ca="1" si="16"/>
        <v>1.3501464030945374</v>
      </c>
      <c r="N68" s="304">
        <f t="shared" ca="1" si="17"/>
        <v>77.357690622085784</v>
      </c>
      <c r="P68" s="310">
        <f t="shared" ca="1" si="18"/>
        <v>4</v>
      </c>
      <c r="Q68" s="304">
        <f t="shared" ca="1" si="19"/>
        <v>156.25000000000338</v>
      </c>
      <c r="R68" s="306">
        <f t="shared" ca="1" si="20"/>
        <v>8.2929654591408691E-2</v>
      </c>
      <c r="S68" s="307">
        <f t="shared" ca="1" si="21"/>
        <v>2.9925103622577938</v>
      </c>
      <c r="T68" s="304">
        <f t="shared" ref="T68:T131" ca="1" si="30">m*g</f>
        <v>29.356526653748958</v>
      </c>
      <c r="U68" s="311">
        <f t="shared" ref="U68:U131" ca="1" si="31">IF(pos_xz&lt;L_rampe,Poids*COS(Beta),0)</f>
        <v>0</v>
      </c>
      <c r="V68" s="306">
        <f t="shared" ref="V68:V131" ca="1" si="32">Rho_moyen*(20000-Alt_rampe-pos_z)/(20000+Alt_rampe+pos_z)</f>
        <v>1.15213602879412</v>
      </c>
      <c r="W68" s="304">
        <f t="shared" ref="W68:W131" ca="1" si="33">1/2*Rho*Sref*Cx*vit_xz^2</f>
        <v>87.149118150349096</v>
      </c>
      <c r="Y68" s="314" t="str">
        <f t="shared" ca="1" si="22"/>
        <v/>
      </c>
      <c r="Z68" s="315" t="str">
        <f t="shared" ca="1" si="23"/>
        <v/>
      </c>
      <c r="AA68" s="316" t="str">
        <f t="shared" ca="1" si="24"/>
        <v/>
      </c>
      <c r="AC68" s="310" t="e">
        <f t="shared" ca="1" si="25"/>
        <v>#N/A</v>
      </c>
      <c r="AD68" s="323" t="e">
        <f t="shared" ca="1" si="26"/>
        <v>#N/A</v>
      </c>
      <c r="AE68" s="324">
        <f t="shared" ref="AE68:AE131" ca="1" si="34">IF(t&lt;T_para, pos_z, NA())</f>
        <v>613.03998023910196</v>
      </c>
      <c r="AG68" s="306">
        <f t="shared" ca="1" si="27"/>
        <v>13.554480618298069</v>
      </c>
      <c r="AH68" s="304">
        <f t="shared" ca="1" si="28"/>
        <v>23.126880869199841</v>
      </c>
    </row>
    <row r="69" spans="1:34" x14ac:dyDescent="0.2">
      <c r="A69" s="347">
        <f t="shared" ref="A69:A132" ca="1" si="35">IF(B68+0.01&lt;=T_ini+ROUNDUP(Temps_fin_propu,0), 0.01, IF(K68&gt;0, 0.1, 0.0001))</f>
        <v>0.01</v>
      </c>
      <c r="B69" s="304">
        <f t="shared" ref="B69:B132" ca="1" si="36">B68+pas</f>
        <v>3.8499999999999863</v>
      </c>
      <c r="D69" s="306">
        <f t="shared" ref="D69:D132" ca="1" si="37">IF(AND(L68&lt;L_rampe,Poussee&lt;Poids*SIN(M68)),0,(-W68+Poussee)/m*COS(M68)-U68/m*SIN(M68))</f>
        <v>4.8723308070693232</v>
      </c>
      <c r="E69" s="307">
        <f t="shared" ref="E69:E132" ca="1" si="38">IF(AND(L68&lt;L_rampe,Poussee&lt;Poids*SIN(M68)),0,(-W68+Poussee)/m*SIN(M68)+U68/m*COS(M68)-Poids/m)</f>
        <v>11.912196037483836</v>
      </c>
      <c r="F69" s="304">
        <f t="shared" ref="F69:F132" ca="1" si="39">SQRT(acc_x^2+acc_z^2)</f>
        <v>12.870121286489978</v>
      </c>
      <c r="G69" s="306">
        <f t="shared" ref="G69:G132" ca="1" si="40">G68+acc_x*pas</f>
        <v>42.113364743289701</v>
      </c>
      <c r="H69" s="307">
        <f t="shared" ref="H69:H132" ca="1" si="41">H68+acc_z*pas</f>
        <v>187.65490794940121</v>
      </c>
      <c r="I69" s="304">
        <f t="shared" ref="I69:I132" ca="1" si="42">SQRT(vit_x^2+vit_z^2)</f>
        <v>192.32238550803075</v>
      </c>
      <c r="J69" s="306">
        <f t="shared" ref="J69:J132" ca="1" si="43">J68+0.5*(vit_x+G68)*pas*(K68&gt;=0)</f>
        <v>126.52987786990754</v>
      </c>
      <c r="K69" s="307">
        <f t="shared" ref="K69:K132" ca="1" si="44">K68+0.5*(vit_z+H68)*pas</f>
        <v>614.91593370879411</v>
      </c>
      <c r="L69" s="304">
        <f t="shared" ca="1" si="29"/>
        <v>627.79886549971707</v>
      </c>
      <c r="M69" s="306">
        <f t="shared" ref="M69:M132" ca="1" si="45">IF(AND(L68&gt;L_rampe,G69&gt;0),ATAN2(G69,H69),$M$4)</f>
        <v>1.3500347648040567</v>
      </c>
      <c r="N69" s="304">
        <f t="shared" ref="N69:N132" ca="1" si="46">DEGREES(Beta)</f>
        <v>77.35129421920918</v>
      </c>
      <c r="P69" s="310">
        <f t="shared" ref="P69:P132" ca="1" si="47">MATCH(t-pas/2-T_ini,CdP_t)</f>
        <v>4</v>
      </c>
      <c r="Q69" s="304">
        <f t="shared" ref="Q69:Q132" ca="1" si="48">(INDEX(CdP,2,i_P+1)-INDEX(CdP,2,i_P+0))/(INDEX(CdP,1,i_P+1)-INDEX(CdP,1,i_P+0))*(t-pas/2-T_ini-INDEX(CdP,1,i_P+0))+INDEX(CdP,2,i_P+0)</f>
        <v>153.75000000000344</v>
      </c>
      <c r="R69" s="306">
        <f t="shared" ref="R69:R132" ca="1" si="49">Poussee/(g*ISP)</f>
        <v>8.1602780117946208E-2</v>
      </c>
      <c r="S69" s="307">
        <f t="shared" ref="S69:S132" ca="1" si="50">S68-Débit*pas</f>
        <v>2.9916943344566143</v>
      </c>
      <c r="T69" s="304">
        <f t="shared" ca="1" si="30"/>
        <v>29.348521421019388</v>
      </c>
      <c r="U69" s="311">
        <f t="shared" ca="1" si="31"/>
        <v>0</v>
      </c>
      <c r="V69" s="306">
        <f t="shared" ca="1" si="32"/>
        <v>1.1519197098629397</v>
      </c>
      <c r="W69" s="304">
        <f t="shared" ca="1" si="33"/>
        <v>87.247853912403187</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614.91593370879411</v>
      </c>
      <c r="AG69" s="306">
        <f t="shared" ref="AG69:AG132" ca="1" si="56">IF(AND(L68&lt;L_rampe,Poussee&lt;Poids*SIN(M68)),0,(-W68+Poussee)/m-Poids*SIN(M68)/m)</f>
        <v>12.689766745873941</v>
      </c>
      <c r="AH69" s="304">
        <f t="shared" ref="AH69:AH132" ca="1" si="57">IF(AND(L68&lt;L_rampe,Poussee&lt;Poids*SIN(M68)), g*SIN(M68), (-W68+Poussee)/m)</f>
        <v>22.261927324119881</v>
      </c>
    </row>
    <row r="70" spans="1:34" x14ac:dyDescent="0.2">
      <c r="A70" s="347">
        <f t="shared" ca="1" si="35"/>
        <v>0.01</v>
      </c>
      <c r="B70" s="304">
        <f t="shared" ca="1" si="36"/>
        <v>3.8599999999999861</v>
      </c>
      <c r="D70" s="306">
        <f t="shared" ca="1" si="37"/>
        <v>4.6858024150012243</v>
      </c>
      <c r="E70" s="307">
        <f t="shared" ca="1" si="38"/>
        <v>11.069685729605476</v>
      </c>
      <c r="F70" s="304">
        <f t="shared" ca="1" si="39"/>
        <v>12.020594262542199</v>
      </c>
      <c r="G70" s="306">
        <f t="shared" ca="1" si="40"/>
        <v>42.160222767439713</v>
      </c>
      <c r="H70" s="307">
        <f t="shared" ca="1" si="41"/>
        <v>187.76560480669727</v>
      </c>
      <c r="I70" s="304">
        <f t="shared" ca="1" si="42"/>
        <v>192.44065769016939</v>
      </c>
      <c r="J70" s="306">
        <f t="shared" ca="1" si="43"/>
        <v>126.95124580746118</v>
      </c>
      <c r="K70" s="307">
        <f t="shared" ca="1" si="44"/>
        <v>616.79303627257457</v>
      </c>
      <c r="L70" s="304">
        <f t="shared" ca="1" si="29"/>
        <v>629.72237407162845</v>
      </c>
      <c r="M70" s="306">
        <f t="shared" ca="1" si="45"/>
        <v>1.3499231395962668</v>
      </c>
      <c r="N70" s="304">
        <f t="shared" ca="1" si="46"/>
        <v>77.344898565915543</v>
      </c>
      <c r="P70" s="310">
        <f t="shared" ca="1" si="47"/>
        <v>4</v>
      </c>
      <c r="Q70" s="304">
        <f t="shared" ca="1" si="48"/>
        <v>151.2500000000035</v>
      </c>
      <c r="R70" s="306">
        <f t="shared" ca="1" si="49"/>
        <v>8.0275905644483739E-2</v>
      </c>
      <c r="S70" s="307">
        <f t="shared" ca="1" si="50"/>
        <v>2.9908915754001693</v>
      </c>
      <c r="T70" s="304">
        <f t="shared" ca="1" si="30"/>
        <v>29.340646354675663</v>
      </c>
      <c r="U70" s="311">
        <f t="shared" ca="1" si="31"/>
        <v>0</v>
      </c>
      <c r="V70" s="306">
        <f t="shared" ca="1" si="32"/>
        <v>1.1517032978306012</v>
      </c>
      <c r="W70" s="304">
        <f t="shared" ca="1" si="33"/>
        <v>87.338784760530899</v>
      </c>
      <c r="Y70" s="314" t="str">
        <f t="shared" ca="1" si="51"/>
        <v/>
      </c>
      <c r="Z70" s="315" t="str">
        <f t="shared" ca="1" si="52"/>
        <v/>
      </c>
      <c r="AA70" s="316" t="str">
        <f t="shared" ca="1" si="53"/>
        <v/>
      </c>
      <c r="AC70" s="310" t="e">
        <f t="shared" ca="1" si="54"/>
        <v>#N/A</v>
      </c>
      <c r="AD70" s="323" t="e">
        <f t="shared" ca="1" si="55"/>
        <v>#N/A</v>
      </c>
      <c r="AE70" s="324">
        <f t="shared" ca="1" si="34"/>
        <v>616.79303627257457</v>
      </c>
      <c r="AG70" s="306">
        <f t="shared" ca="1" si="56"/>
        <v>11.827098321536104</v>
      </c>
      <c r="AH70" s="304">
        <f t="shared" ca="1" si="57"/>
        <v>21.39901914666936</v>
      </c>
    </row>
    <row r="71" spans="1:34" x14ac:dyDescent="0.2">
      <c r="A71" s="347">
        <f t="shared" ca="1" si="35"/>
        <v>0.01</v>
      </c>
      <c r="B71" s="304">
        <f t="shared" ca="1" si="36"/>
        <v>3.8699999999999859</v>
      </c>
      <c r="D71" s="306">
        <f t="shared" ca="1" si="37"/>
        <v>4.4445784565166644</v>
      </c>
      <c r="E71" s="307">
        <f t="shared" ca="1" si="38"/>
        <v>9.9844628187112345</v>
      </c>
      <c r="F71" s="304">
        <f t="shared" ca="1" si="39"/>
        <v>10.929033600202679</v>
      </c>
      <c r="G71" s="306">
        <f t="shared" ca="1" si="40"/>
        <v>42.204668552004883</v>
      </c>
      <c r="H71" s="307">
        <f t="shared" ca="1" si="41"/>
        <v>187.86544943488437</v>
      </c>
      <c r="I71" s="304">
        <f t="shared" ca="1" si="42"/>
        <v>192.54781520171991</v>
      </c>
      <c r="J71" s="306">
        <f t="shared" ca="1" si="43"/>
        <v>127.3730702640584</v>
      </c>
      <c r="K71" s="307">
        <f t="shared" ca="1" si="44"/>
        <v>618.67119154378247</v>
      </c>
      <c r="L71" s="304">
        <f t="shared" ca="1" si="29"/>
        <v>631.64700765118516</v>
      </c>
      <c r="M71" s="306">
        <f t="shared" ca="1" si="45"/>
        <v>1.3498115210202675</v>
      </c>
      <c r="N71" s="304">
        <f t="shared" ca="1" si="46"/>
        <v>77.338503292595533</v>
      </c>
      <c r="P71" s="310">
        <f t="shared" ca="1" si="47"/>
        <v>5</v>
      </c>
      <c r="Q71" s="304">
        <f t="shared" ca="1" si="48"/>
        <v>148.00000000000568</v>
      </c>
      <c r="R71" s="306">
        <f t="shared" ca="1" si="49"/>
        <v>7.8550968828983631E-2</v>
      </c>
      <c r="S71" s="307">
        <f t="shared" ca="1" si="50"/>
        <v>2.9901060657118794</v>
      </c>
      <c r="T71" s="304">
        <f t="shared" ca="1" si="30"/>
        <v>29.332940504633537</v>
      </c>
      <c r="U71" s="311">
        <f t="shared" ca="1" si="31"/>
        <v>0</v>
      </c>
      <c r="V71" s="306">
        <f t="shared" ca="1" si="32"/>
        <v>1.1514868038681414</v>
      </c>
      <c r="W71" s="304">
        <f t="shared" ca="1" si="33"/>
        <v>87.419642271045007</v>
      </c>
      <c r="Y71" s="314" t="str">
        <f t="shared" ca="1" si="51"/>
        <v/>
      </c>
      <c r="Z71" s="315" t="str">
        <f t="shared" ca="1" si="52"/>
        <v/>
      </c>
      <c r="AA71" s="316" t="str">
        <f t="shared" ca="1" si="53"/>
        <v/>
      </c>
      <c r="AC71" s="310" t="e">
        <f t="shared" ca="1" si="54"/>
        <v>#N/A</v>
      </c>
      <c r="AD71" s="323" t="e">
        <f t="shared" ca="1" si="55"/>
        <v>#N/A</v>
      </c>
      <c r="AE71" s="324">
        <f t="shared" ca="1" si="34"/>
        <v>618.67119154378247</v>
      </c>
      <c r="AG71" s="306">
        <f t="shared" ca="1" si="56"/>
        <v>10.715631210216673</v>
      </c>
      <c r="AH71" s="304">
        <f t="shared" ca="1" si="57"/>
        <v>20.287312191058568</v>
      </c>
    </row>
    <row r="72" spans="1:34" x14ac:dyDescent="0.2">
      <c r="A72" s="347">
        <f t="shared" ca="1" si="35"/>
        <v>0.01</v>
      </c>
      <c r="B72" s="304">
        <f t="shared" ca="1" si="36"/>
        <v>3.8799999999999857</v>
      </c>
      <c r="D72" s="306">
        <f t="shared" ca="1" si="37"/>
        <v>4.1486998427380648</v>
      </c>
      <c r="E72" s="307">
        <f t="shared" ca="1" si="38"/>
        <v>8.6570887668751926</v>
      </c>
      <c r="F72" s="304">
        <f t="shared" ca="1" si="39"/>
        <v>9.5998383477375011</v>
      </c>
      <c r="G72" s="306">
        <f t="shared" ca="1" si="40"/>
        <v>42.246155550432263</v>
      </c>
      <c r="H72" s="307">
        <f t="shared" ca="1" si="41"/>
        <v>187.95202032255312</v>
      </c>
      <c r="I72" s="304">
        <f t="shared" ca="1" si="42"/>
        <v>192.64137562351641</v>
      </c>
      <c r="J72" s="306">
        <f t="shared" ca="1" si="43"/>
        <v>127.79532438457059</v>
      </c>
      <c r="K72" s="307">
        <f t="shared" ca="1" si="44"/>
        <v>620.55027889256962</v>
      </c>
      <c r="L72" s="304">
        <f t="shared" ca="1" si="29"/>
        <v>633.57264269237794</v>
      </c>
      <c r="M72" s="306">
        <f t="shared" ca="1" si="45"/>
        <v>1.349699901195528</v>
      </c>
      <c r="N72" s="304">
        <f t="shared" ca="1" si="46"/>
        <v>77.332107947727962</v>
      </c>
      <c r="P72" s="310">
        <f t="shared" ca="1" si="47"/>
        <v>5</v>
      </c>
      <c r="Q72" s="304">
        <f t="shared" ca="1" si="48"/>
        <v>144.00000000000577</v>
      </c>
      <c r="R72" s="306">
        <f t="shared" ca="1" si="49"/>
        <v>7.6427969671443663E-2</v>
      </c>
      <c r="S72" s="307">
        <f t="shared" ca="1" si="50"/>
        <v>2.989341786015165</v>
      </c>
      <c r="T72" s="304">
        <f t="shared" ca="1" si="30"/>
        <v>29.325442920808769</v>
      </c>
      <c r="U72" s="311">
        <f t="shared" ca="1" si="31"/>
        <v>0</v>
      </c>
      <c r="V72" s="306">
        <f t="shared" ca="1" si="32"/>
        <v>1.1512702419322418</v>
      </c>
      <c r="W72" s="304">
        <f t="shared" ca="1" si="33"/>
        <v>87.488161494437421</v>
      </c>
      <c r="Y72" s="314" t="str">
        <f t="shared" ca="1" si="51"/>
        <v/>
      </c>
      <c r="Z72" s="315" t="str">
        <f t="shared" ca="1" si="52"/>
        <v/>
      </c>
      <c r="AA72" s="316" t="str">
        <f t="shared" ca="1" si="53"/>
        <v/>
      </c>
      <c r="AC72" s="310" t="e">
        <f t="shared" ca="1" si="54"/>
        <v>#N/A</v>
      </c>
      <c r="AD72" s="323" t="e">
        <f t="shared" ca="1" si="55"/>
        <v>#N/A</v>
      </c>
      <c r="AE72" s="324">
        <f t="shared" ca="1" si="34"/>
        <v>620.55027889256962</v>
      </c>
      <c r="AG72" s="306">
        <f t="shared" ca="1" si="56"/>
        <v>9.3559221738451637</v>
      </c>
      <c r="AH72" s="304">
        <f t="shared" ca="1" si="57"/>
        <v>18.927363205390836</v>
      </c>
    </row>
    <row r="73" spans="1:34" x14ac:dyDescent="0.2">
      <c r="A73" s="347">
        <f t="shared" ca="1" si="35"/>
        <v>0.01</v>
      </c>
      <c r="B73" s="304">
        <f t="shared" ca="1" si="36"/>
        <v>3.8899999999999855</v>
      </c>
      <c r="D73" s="306">
        <f t="shared" ca="1" si="37"/>
        <v>3.7554032944954128</v>
      </c>
      <c r="E73" s="307">
        <f t="shared" ca="1" si="38"/>
        <v>6.8976891880440636</v>
      </c>
      <c r="F73" s="304">
        <f t="shared" ca="1" si="39"/>
        <v>7.8537360561179401</v>
      </c>
      <c r="G73" s="306">
        <f t="shared" ca="1" si="40"/>
        <v>42.283709583377217</v>
      </c>
      <c r="H73" s="307">
        <f t="shared" ca="1" si="41"/>
        <v>188.02099721443358</v>
      </c>
      <c r="I73" s="304">
        <f t="shared" ca="1" si="42"/>
        <v>192.71691023270745</v>
      </c>
      <c r="J73" s="306">
        <f t="shared" ca="1" si="43"/>
        <v>128.21797371023965</v>
      </c>
      <c r="K73" s="307">
        <f t="shared" ca="1" si="44"/>
        <v>622.43014398025457</v>
      </c>
      <c r="L73" s="304">
        <f t="shared" ca="1" si="29"/>
        <v>635.49912109903039</v>
      </c>
      <c r="M73" s="306">
        <f t="shared" ca="1" si="45"/>
        <v>1.349588269683532</v>
      </c>
      <c r="N73" s="304">
        <f t="shared" ca="1" si="46"/>
        <v>77.325711933229925</v>
      </c>
      <c r="P73" s="310">
        <f t="shared" ca="1" si="47"/>
        <v>6</v>
      </c>
      <c r="Q73" s="304">
        <f t="shared" ca="1" si="48"/>
        <v>138.66666666667643</v>
      </c>
      <c r="R73" s="306">
        <f t="shared" ca="1" si="49"/>
        <v>7.3597304128059093E-2</v>
      </c>
      <c r="S73" s="307">
        <f t="shared" ca="1" si="50"/>
        <v>2.9886058129738844</v>
      </c>
      <c r="T73" s="304">
        <f t="shared" ca="1" si="30"/>
        <v>29.318223025273806</v>
      </c>
      <c r="U73" s="311">
        <f t="shared" ca="1" si="31"/>
        <v>0</v>
      </c>
      <c r="V73" s="306">
        <f t="shared" ca="1" si="32"/>
        <v>1.151053629853281</v>
      </c>
      <c r="W73" s="304">
        <f t="shared" ca="1" si="33"/>
        <v>87.540309240834858</v>
      </c>
      <c r="Y73" s="314" t="str">
        <f t="shared" ca="1" si="51"/>
        <v/>
      </c>
      <c r="Z73" s="315" t="str">
        <f t="shared" ca="1" si="52"/>
        <v/>
      </c>
      <c r="AA73" s="316" t="str">
        <f t="shared" ca="1" si="53"/>
        <v/>
      </c>
      <c r="AC73" s="310" t="e">
        <f t="shared" ca="1" si="54"/>
        <v>#N/A</v>
      </c>
      <c r="AD73" s="323" t="e">
        <f t="shared" ca="1" si="55"/>
        <v>#N/A</v>
      </c>
      <c r="AE73" s="324">
        <f t="shared" ca="1" si="34"/>
        <v>622.43014398025457</v>
      </c>
      <c r="AG73" s="306">
        <f t="shared" ca="1" si="56"/>
        <v>7.5533408411050846</v>
      </c>
      <c r="AH73" s="304">
        <f t="shared" ca="1" si="57"/>
        <v>17.12454180142031</v>
      </c>
    </row>
    <row r="74" spans="1:34" x14ac:dyDescent="0.2">
      <c r="A74" s="347">
        <f t="shared" ca="1" si="35"/>
        <v>0.01</v>
      </c>
      <c r="B74" s="304">
        <f t="shared" ca="1" si="36"/>
        <v>3.8999999999999853</v>
      </c>
      <c r="D74" s="306">
        <f t="shared" ca="1" si="37"/>
        <v>3.2647721518927706</v>
      </c>
      <c r="E74" s="307">
        <f t="shared" ca="1" si="38"/>
        <v>4.707309898422654</v>
      </c>
      <c r="F74" s="304">
        <f t="shared" ca="1" si="39"/>
        <v>5.7286563593536002</v>
      </c>
      <c r="G74" s="306">
        <f t="shared" ca="1" si="40"/>
        <v>42.316357304896144</v>
      </c>
      <c r="H74" s="307">
        <f t="shared" ca="1" si="41"/>
        <v>188.06807031341779</v>
      </c>
      <c r="I74" s="304">
        <f t="shared" ca="1" si="42"/>
        <v>192.77000069245292</v>
      </c>
      <c r="J74" s="306">
        <f t="shared" ca="1" si="43"/>
        <v>128.640974044681</v>
      </c>
      <c r="K74" s="307">
        <f t="shared" ca="1" si="44"/>
        <v>624.3105893178938</v>
      </c>
      <c r="L74" s="304">
        <f t="shared" ca="1" si="29"/>
        <v>637.4262405467947</v>
      </c>
      <c r="M74" s="306">
        <f t="shared" ca="1" si="45"/>
        <v>1.3494766134904446</v>
      </c>
      <c r="N74" s="304">
        <f t="shared" ca="1" si="46"/>
        <v>77.319314504609522</v>
      </c>
      <c r="P74" s="310">
        <f t="shared" ca="1" si="47"/>
        <v>6</v>
      </c>
      <c r="Q74" s="304">
        <f t="shared" ca="1" si="48"/>
        <v>132.00000000000992</v>
      </c>
      <c r="R74" s="306">
        <f t="shared" ca="1" si="49"/>
        <v>7.0058972198825814E-2</v>
      </c>
      <c r="S74" s="307">
        <f t="shared" ca="1" si="50"/>
        <v>2.9879052232518961</v>
      </c>
      <c r="T74" s="304">
        <f t="shared" ca="1" si="30"/>
        <v>29.311350240101103</v>
      </c>
      <c r="U74" s="311">
        <f t="shared" ca="1" si="31"/>
        <v>0</v>
      </c>
      <c r="V74" s="306">
        <f t="shared" ca="1" si="32"/>
        <v>1.1508369904194007</v>
      </c>
      <c r="W74" s="304">
        <f t="shared" ca="1" si="33"/>
        <v>87.57206281235257</v>
      </c>
      <c r="Y74" s="314" t="str">
        <f t="shared" ca="1" si="51"/>
        <v/>
      </c>
      <c r="Z74" s="315" t="str">
        <f t="shared" ca="1" si="52"/>
        <v/>
      </c>
      <c r="AA74" s="316" t="str">
        <f t="shared" ca="1" si="53"/>
        <v/>
      </c>
      <c r="AC74" s="310" t="e">
        <f t="shared" ca="1" si="54"/>
        <v>#N/A</v>
      </c>
      <c r="AD74" s="323" t="e">
        <f t="shared" ca="1" si="55"/>
        <v>#N/A</v>
      </c>
      <c r="AE74" s="324">
        <f t="shared" ca="1" si="34"/>
        <v>624.3105893178938</v>
      </c>
      <c r="AG74" s="306">
        <f t="shared" ca="1" si="56"/>
        <v>5.3089258103500434</v>
      </c>
      <c r="AH74" s="304">
        <f t="shared" ca="1" si="57"/>
        <v>14.87988655503176</v>
      </c>
    </row>
    <row r="75" spans="1:34" x14ac:dyDescent="0.2">
      <c r="A75" s="347">
        <f t="shared" ca="1" si="35"/>
        <v>0.01</v>
      </c>
      <c r="B75" s="304">
        <f t="shared" ca="1" si="36"/>
        <v>3.909999999999985</v>
      </c>
      <c r="D75" s="306">
        <f t="shared" ca="1" si="37"/>
        <v>2.7748870258905387</v>
      </c>
      <c r="E75" s="307">
        <f t="shared" ca="1" si="38"/>
        <v>2.5225276922309892</v>
      </c>
      <c r="F75" s="304">
        <f t="shared" ca="1" si="39"/>
        <v>3.7500858609540981</v>
      </c>
      <c r="G75" s="306">
        <f t="shared" ca="1" si="40"/>
        <v>42.344106175155048</v>
      </c>
      <c r="H75" s="307">
        <f t="shared" ca="1" si="41"/>
        <v>188.09329559034009</v>
      </c>
      <c r="I75" s="304">
        <f t="shared" ca="1" si="42"/>
        <v>192.80070325029382</v>
      </c>
      <c r="J75" s="306">
        <f t="shared" ca="1" si="43"/>
        <v>129.06427636208124</v>
      </c>
      <c r="K75" s="307">
        <f t="shared" ca="1" si="44"/>
        <v>626.19139614741255</v>
      </c>
      <c r="L75" s="304">
        <f t="shared" ca="1" si="29"/>
        <v>639.35377690439384</v>
      </c>
      <c r="M75" s="306">
        <f t="shared" ca="1" si="45"/>
        <v>1.3493649196506814</v>
      </c>
      <c r="N75" s="304">
        <f t="shared" ca="1" si="46"/>
        <v>77.312914918993485</v>
      </c>
      <c r="P75" s="310">
        <f t="shared" ca="1" si="47"/>
        <v>6</v>
      </c>
      <c r="Q75" s="304">
        <f t="shared" ca="1" si="48"/>
        <v>125.33333333334338</v>
      </c>
      <c r="R75" s="306">
        <f t="shared" ca="1" si="49"/>
        <v>6.6520640269592521E-2</v>
      </c>
      <c r="S75" s="307">
        <f t="shared" ca="1" si="50"/>
        <v>2.9872400168492002</v>
      </c>
      <c r="T75" s="304">
        <f t="shared" ca="1" si="30"/>
        <v>29.304824565290655</v>
      </c>
      <c r="U75" s="311">
        <f t="shared" ca="1" si="31"/>
        <v>0</v>
      </c>
      <c r="V75" s="306">
        <f t="shared" ca="1" si="32"/>
        <v>1.1506203488518141</v>
      </c>
      <c r="W75" s="304">
        <f t="shared" ca="1" si="33"/>
        <v>87.583469884789309</v>
      </c>
      <c r="Y75" s="314" t="str">
        <f t="shared" ca="1" si="51"/>
        <v/>
      </c>
      <c r="Z75" s="315" t="str">
        <f t="shared" ca="1" si="52"/>
        <v/>
      </c>
      <c r="AA75" s="316" t="str">
        <f t="shared" ca="1" si="53"/>
        <v/>
      </c>
      <c r="AC75" s="310" t="e">
        <f t="shared" ca="1" si="54"/>
        <v>#N/A</v>
      </c>
      <c r="AD75" s="323" t="e">
        <f t="shared" ca="1" si="55"/>
        <v>#N/A</v>
      </c>
      <c r="AE75" s="324">
        <f t="shared" ca="1" si="34"/>
        <v>626.19139614741255</v>
      </c>
      <c r="AG75" s="306">
        <f t="shared" ca="1" si="56"/>
        <v>3.0701355196992353</v>
      </c>
      <c r="AH75" s="304">
        <f t="shared" ca="1" si="57"/>
        <v>12.640855876328148</v>
      </c>
    </row>
    <row r="76" spans="1:34" x14ac:dyDescent="0.2">
      <c r="A76" s="347">
        <f t="shared" ca="1" si="35"/>
        <v>0.01</v>
      </c>
      <c r="B76" s="304">
        <f t="shared" ca="1" si="36"/>
        <v>3.9199999999999848</v>
      </c>
      <c r="D76" s="306">
        <f t="shared" ca="1" si="37"/>
        <v>2.285764540083397</v>
      </c>
      <c r="E76" s="307">
        <f t="shared" ca="1" si="38"/>
        <v>0.34340797393157096</v>
      </c>
      <c r="F76" s="304">
        <f t="shared" ca="1" si="39"/>
        <v>2.3114170046234519</v>
      </c>
      <c r="G76" s="306">
        <f t="shared" ca="1" si="40"/>
        <v>42.366963820555881</v>
      </c>
      <c r="H76" s="307">
        <f t="shared" ca="1" si="41"/>
        <v>188.09672967007941</v>
      </c>
      <c r="I76" s="304">
        <f t="shared" ca="1" si="42"/>
        <v>192.80907482779753</v>
      </c>
      <c r="J76" s="306">
        <f t="shared" ca="1" si="43"/>
        <v>129.4878317120598</v>
      </c>
      <c r="K76" s="307">
        <f t="shared" ca="1" si="44"/>
        <v>628.07234627371463</v>
      </c>
      <c r="L76" s="304">
        <f t="shared" ca="1" si="29"/>
        <v>641.28150660631059</v>
      </c>
      <c r="M76" s="306">
        <f t="shared" ca="1" si="45"/>
        <v>1.3492531752182937</v>
      </c>
      <c r="N76" s="304">
        <f t="shared" ca="1" si="46"/>
        <v>77.306512434633589</v>
      </c>
      <c r="P76" s="310">
        <f t="shared" ca="1" si="47"/>
        <v>6</v>
      </c>
      <c r="Q76" s="304">
        <f t="shared" ca="1" si="48"/>
        <v>118.66666666667686</v>
      </c>
      <c r="R76" s="306">
        <f t="shared" ca="1" si="49"/>
        <v>6.2982308340359242E-2</v>
      </c>
      <c r="S76" s="307">
        <f t="shared" ca="1" si="50"/>
        <v>2.9866101937657965</v>
      </c>
      <c r="T76" s="304">
        <f t="shared" ca="1" si="30"/>
        <v>29.298646000842464</v>
      </c>
      <c r="U76" s="311">
        <f t="shared" ca="1" si="31"/>
        <v>0</v>
      </c>
      <c r="V76" s="306">
        <f t="shared" ca="1" si="32"/>
        <v>1.1504037302885179</v>
      </c>
      <c r="W76" s="304">
        <f t="shared" ca="1" si="33"/>
        <v>87.574585846458874</v>
      </c>
      <c r="Y76" s="314" t="str">
        <f t="shared" ca="1" si="51"/>
        <v/>
      </c>
      <c r="Z76" s="315" t="str">
        <f t="shared" ca="1" si="52"/>
        <v/>
      </c>
      <c r="AA76" s="316" t="str">
        <f t="shared" ca="1" si="53"/>
        <v/>
      </c>
      <c r="AC76" s="310" t="e">
        <f t="shared" ca="1" si="54"/>
        <v>#N/A</v>
      </c>
      <c r="AD76" s="323" t="e">
        <f t="shared" ca="1" si="55"/>
        <v>#N/A</v>
      </c>
      <c r="AE76" s="324">
        <f t="shared" ca="1" si="34"/>
        <v>628.07234627371463</v>
      </c>
      <c r="AG76" s="306">
        <f t="shared" ca="1" si="56"/>
        <v>0.83703737177753723</v>
      </c>
      <c r="AH76" s="304">
        <f t="shared" ca="1" si="57"/>
        <v>10.407517139923426</v>
      </c>
    </row>
    <row r="77" spans="1:34" x14ac:dyDescent="0.2">
      <c r="A77" s="347">
        <f t="shared" ca="1" si="35"/>
        <v>0.01</v>
      </c>
      <c r="B77" s="304">
        <f t="shared" ca="1" si="36"/>
        <v>3.9299999999999846</v>
      </c>
      <c r="D77" s="306">
        <f t="shared" ca="1" si="37"/>
        <v>1.7974205916778674</v>
      </c>
      <c r="E77" s="307">
        <f t="shared" ca="1" si="38"/>
        <v>-1.8299866913231586</v>
      </c>
      <c r="F77" s="304">
        <f t="shared" ca="1" si="39"/>
        <v>2.5650676548207252</v>
      </c>
      <c r="G77" s="306">
        <f t="shared" ca="1" si="40"/>
        <v>42.384938026472661</v>
      </c>
      <c r="H77" s="307">
        <f t="shared" ca="1" si="41"/>
        <v>188.07842980316619</v>
      </c>
      <c r="I77" s="304">
        <f t="shared" ca="1" si="42"/>
        <v>192.79517299126667</v>
      </c>
      <c r="J77" s="306">
        <f t="shared" ca="1" si="43"/>
        <v>129.91159122129494</v>
      </c>
      <c r="K77" s="307">
        <f t="shared" ca="1" si="44"/>
        <v>629.95322207108086</v>
      </c>
      <c r="L77" s="304">
        <f t="shared" ca="1" si="29"/>
        <v>643.20920665937717</v>
      </c>
      <c r="M77" s="306">
        <f t="shared" ca="1" si="45"/>
        <v>1.3491413672583992</v>
      </c>
      <c r="N77" s="304">
        <f t="shared" ca="1" si="46"/>
        <v>77.300106310415657</v>
      </c>
      <c r="P77" s="310">
        <f t="shared" ca="1" si="47"/>
        <v>6</v>
      </c>
      <c r="Q77" s="304">
        <f t="shared" ca="1" si="48"/>
        <v>112.00000000001033</v>
      </c>
      <c r="R77" s="306">
        <f t="shared" ca="1" si="49"/>
        <v>5.9443976411125948E-2</v>
      </c>
      <c r="S77" s="307">
        <f t="shared" ca="1" si="50"/>
        <v>2.9860157540016852</v>
      </c>
      <c r="T77" s="304">
        <f t="shared" ca="1" si="30"/>
        <v>29.292814546756532</v>
      </c>
      <c r="U77" s="311">
        <f t="shared" ca="1" si="31"/>
        <v>0</v>
      </c>
      <c r="V77" s="306">
        <f t="shared" ca="1" si="32"/>
        <v>1.1501871597836224</v>
      </c>
      <c r="W77" s="304">
        <f t="shared" ca="1" si="33"/>
        <v>87.545473700342555</v>
      </c>
      <c r="Y77" s="314" t="str">
        <f t="shared" ca="1" si="51"/>
        <v/>
      </c>
      <c r="Z77" s="315" t="str">
        <f t="shared" ca="1" si="52"/>
        <v/>
      </c>
      <c r="AA77" s="316" t="str">
        <f t="shared" ca="1" si="53"/>
        <v/>
      </c>
      <c r="AC77" s="310" t="e">
        <f t="shared" ca="1" si="54"/>
        <v>#N/A</v>
      </c>
      <c r="AD77" s="323" t="e">
        <f t="shared" ca="1" si="55"/>
        <v>#N/A</v>
      </c>
      <c r="AE77" s="324">
        <f t="shared" ca="1" si="34"/>
        <v>629.95322207108086</v>
      </c>
      <c r="AG77" s="306">
        <f t="shared" ca="1" si="56"/>
        <v>-1.390304159900829</v>
      </c>
      <c r="AH77" s="304">
        <f t="shared" ca="1" si="57"/>
        <v>8.17993479130776</v>
      </c>
    </row>
    <row r="78" spans="1:34" x14ac:dyDescent="0.2">
      <c r="A78" s="347">
        <f t="shared" ca="1" si="35"/>
        <v>0.01</v>
      </c>
      <c r="B78" s="304">
        <f t="shared" ca="1" si="36"/>
        <v>3.9399999999999844</v>
      </c>
      <c r="D78" s="306">
        <f t="shared" ca="1" si="37"/>
        <v>1.309870355769762</v>
      </c>
      <c r="E78" s="307">
        <f t="shared" ca="1" si="38"/>
        <v>-3.9975965559977507</v>
      </c>
      <c r="F78" s="304">
        <f t="shared" ca="1" si="39"/>
        <v>4.2067253979133792</v>
      </c>
      <c r="G78" s="306">
        <f t="shared" ca="1" si="40"/>
        <v>42.398036730030356</v>
      </c>
      <c r="H78" s="307">
        <f t="shared" ca="1" si="41"/>
        <v>188.0384538376062</v>
      </c>
      <c r="I78" s="304">
        <f t="shared" ca="1" si="42"/>
        <v>192.75905592266881</v>
      </c>
      <c r="J78" s="306">
        <f t="shared" ca="1" si="43"/>
        <v>130.33550609507745</v>
      </c>
      <c r="K78" s="307">
        <f t="shared" ca="1" si="44"/>
        <v>631.83380648928471</v>
      </c>
      <c r="L78" s="304">
        <f t="shared" ca="1" si="29"/>
        <v>645.13665464907422</v>
      </c>
      <c r="M78" s="306">
        <f t="shared" ca="1" si="45"/>
        <v>1.3490294828386467</v>
      </c>
      <c r="N78" s="304">
        <f t="shared" ca="1" si="46"/>
        <v>77.293695805370575</v>
      </c>
      <c r="P78" s="310">
        <f t="shared" ca="1" si="47"/>
        <v>6</v>
      </c>
      <c r="Q78" s="304">
        <f t="shared" ca="1" si="48"/>
        <v>105.3333333333438</v>
      </c>
      <c r="R78" s="306">
        <f t="shared" ca="1" si="49"/>
        <v>5.5905644481892662E-2</v>
      </c>
      <c r="S78" s="307">
        <f t="shared" ca="1" si="50"/>
        <v>2.9854566975568662</v>
      </c>
      <c r="T78" s="304">
        <f t="shared" ca="1" si="30"/>
        <v>29.287330203032859</v>
      </c>
      <c r="U78" s="311">
        <f t="shared" ca="1" si="31"/>
        <v>0</v>
      </c>
      <c r="V78" s="306">
        <f t="shared" ca="1" si="32"/>
        <v>1.1499706623067185</v>
      </c>
      <c r="W78" s="304">
        <f t="shared" ca="1" si="33"/>
        <v>87.496203965707195</v>
      </c>
      <c r="Y78" s="314" t="str">
        <f t="shared" ca="1" si="51"/>
        <v/>
      </c>
      <c r="Z78" s="315" t="str">
        <f t="shared" ca="1" si="52"/>
        <v/>
      </c>
      <c r="AA78" s="316" t="str">
        <f t="shared" ca="1" si="53"/>
        <v/>
      </c>
      <c r="AC78" s="310" t="e">
        <f t="shared" ca="1" si="54"/>
        <v>#N/A</v>
      </c>
      <c r="AD78" s="323" t="e">
        <f t="shared" ca="1" si="55"/>
        <v>#N/A</v>
      </c>
      <c r="AE78" s="324">
        <f t="shared" ca="1" si="34"/>
        <v>631.83380648928471</v>
      </c>
      <c r="AG78" s="306">
        <f t="shared" ca="1" si="56"/>
        <v>-3.6118275088667806</v>
      </c>
      <c r="AH78" s="304">
        <f t="shared" ca="1" si="57"/>
        <v>5.9581703688946002</v>
      </c>
    </row>
    <row r="79" spans="1:34" x14ac:dyDescent="0.2">
      <c r="A79" s="347">
        <f t="shared" ca="1" si="35"/>
        <v>0.01</v>
      </c>
      <c r="B79" s="304">
        <f t="shared" ca="1" si="36"/>
        <v>3.9499999999999842</v>
      </c>
      <c r="D79" s="306">
        <f t="shared" ca="1" si="37"/>
        <v>0.82312828969591401</v>
      </c>
      <c r="E79" s="307">
        <f t="shared" ca="1" si="38"/>
        <v>-6.1593646677563516</v>
      </c>
      <c r="F79" s="304">
        <f t="shared" ca="1" si="39"/>
        <v>6.2141220853555037</v>
      </c>
      <c r="G79" s="306">
        <f t="shared" ca="1" si="40"/>
        <v>42.406268012927313</v>
      </c>
      <c r="H79" s="307">
        <f t="shared" ca="1" si="41"/>
        <v>187.97686019092865</v>
      </c>
      <c r="I79" s="304">
        <f t="shared" ca="1" si="42"/>
        <v>192.70078239079405</v>
      </c>
      <c r="J79" s="306">
        <f t="shared" ca="1" si="43"/>
        <v>130.75952761879225</v>
      </c>
      <c r="K79" s="307">
        <f t="shared" ca="1" si="44"/>
        <v>633.71388305942742</v>
      </c>
      <c r="L79" s="304">
        <f t="shared" ca="1" si="29"/>
        <v>647.06362874554111</v>
      </c>
      <c r="M79" s="306">
        <f t="shared" ca="1" si="45"/>
        <v>1.3489175090207002</v>
      </c>
      <c r="N79" s="304">
        <f t="shared" ca="1" si="46"/>
        <v>77.287280178186279</v>
      </c>
      <c r="P79" s="310">
        <f t="shared" ca="1" si="47"/>
        <v>6</v>
      </c>
      <c r="Q79" s="304">
        <f t="shared" ca="1" si="48"/>
        <v>98.666666666677287</v>
      </c>
      <c r="R79" s="306">
        <f t="shared" ca="1" si="49"/>
        <v>5.2367312552659383E-2</v>
      </c>
      <c r="S79" s="307">
        <f t="shared" ca="1" si="50"/>
        <v>2.9849330244313395</v>
      </c>
      <c r="T79" s="304">
        <f t="shared" ca="1" si="30"/>
        <v>29.282192969671442</v>
      </c>
      <c r="U79" s="311">
        <f t="shared" ca="1" si="31"/>
        <v>0</v>
      </c>
      <c r="V79" s="306">
        <f t="shared" ca="1" si="32"/>
        <v>1.1497542627422832</v>
      </c>
      <c r="W79" s="304">
        <f t="shared" ca="1" si="33"/>
        <v>87.426854579272771</v>
      </c>
      <c r="Y79" s="314" t="str">
        <f t="shared" ca="1" si="51"/>
        <v/>
      </c>
      <c r="Z79" s="315" t="str">
        <f t="shared" ca="1" si="52"/>
        <v/>
      </c>
      <c r="AA79" s="316" t="str">
        <f t="shared" ca="1" si="53"/>
        <v/>
      </c>
      <c r="AC79" s="310" t="e">
        <f t="shared" ca="1" si="54"/>
        <v>#N/A</v>
      </c>
      <c r="AD79" s="323" t="e">
        <f t="shared" ca="1" si="55"/>
        <v>#N/A</v>
      </c>
      <c r="AE79" s="324">
        <f t="shared" ca="1" si="34"/>
        <v>633.71388305942742</v>
      </c>
      <c r="AG79" s="306">
        <f t="shared" ca="1" si="56"/>
        <v>-5.827473992907894</v>
      </c>
      <c r="AH79" s="304">
        <f t="shared" ca="1" si="57"/>
        <v>3.7422825267907576</v>
      </c>
    </row>
    <row r="80" spans="1:34" x14ac:dyDescent="0.2">
      <c r="A80" s="347">
        <f t="shared" ca="1" si="35"/>
        <v>0.01</v>
      </c>
      <c r="B80" s="304">
        <f t="shared" ca="1" si="36"/>
        <v>3.959999999999984</v>
      </c>
      <c r="D80" s="306">
        <f t="shared" ca="1" si="37"/>
        <v>0.33720813745383788</v>
      </c>
      <c r="E80" s="307">
        <f t="shared" ca="1" si="38"/>
        <v>-8.3152368463529918</v>
      </c>
      <c r="F80" s="304">
        <f t="shared" ca="1" si="39"/>
        <v>8.32207144519389</v>
      </c>
      <c r="G80" s="306">
        <f t="shared" ca="1" si="40"/>
        <v>42.409640094301849</v>
      </c>
      <c r="H80" s="307">
        <f t="shared" ca="1" si="41"/>
        <v>187.89370782246513</v>
      </c>
      <c r="I80" s="304">
        <f t="shared" ca="1" si="42"/>
        <v>192.62041172264719</v>
      </c>
      <c r="J80" s="306">
        <f t="shared" ca="1" si="43"/>
        <v>131.1836071593284</v>
      </c>
      <c r="K80" s="307">
        <f t="shared" ca="1" si="44"/>
        <v>635.5932358994944</v>
      </c>
      <c r="L80" s="304">
        <f t="shared" ca="1" si="29"/>
        <v>648.98990770929811</v>
      </c>
      <c r="M80" s="306">
        <f t="shared" ca="1" si="45"/>
        <v>1.3488054328517258</v>
      </c>
      <c r="N80" s="304">
        <f t="shared" ca="1" si="46"/>
        <v>77.280858686720052</v>
      </c>
      <c r="P80" s="310">
        <f t="shared" ca="1" si="47"/>
        <v>6</v>
      </c>
      <c r="Q80" s="304">
        <f t="shared" ca="1" si="48"/>
        <v>92.000000000010758</v>
      </c>
      <c r="R80" s="306">
        <f t="shared" ca="1" si="49"/>
        <v>4.882898062342609E-2</v>
      </c>
      <c r="S80" s="307">
        <f t="shared" ca="1" si="50"/>
        <v>2.9844447346251051</v>
      </c>
      <c r="T80" s="304">
        <f t="shared" ca="1" si="30"/>
        <v>29.277402846672281</v>
      </c>
      <c r="U80" s="311">
        <f t="shared" ca="1" si="31"/>
        <v>0</v>
      </c>
      <c r="V80" s="306">
        <f t="shared" ca="1" si="32"/>
        <v>1.1495379858891235</v>
      </c>
      <c r="W80" s="304">
        <f t="shared" ca="1" si="33"/>
        <v>87.337510796010847</v>
      </c>
      <c r="Y80" s="314" t="str">
        <f t="shared" ca="1" si="51"/>
        <v/>
      </c>
      <c r="Z80" s="315" t="str">
        <f t="shared" ca="1" si="52"/>
        <v/>
      </c>
      <c r="AA80" s="316" t="str">
        <f t="shared" ca="1" si="53"/>
        <v/>
      </c>
      <c r="AC80" s="310" t="e">
        <f t="shared" ca="1" si="54"/>
        <v>#N/A</v>
      </c>
      <c r="AD80" s="323" t="e">
        <f t="shared" ca="1" si="55"/>
        <v>#N/A</v>
      </c>
      <c r="AE80" s="324">
        <f t="shared" ca="1" si="34"/>
        <v>635.5932358994944</v>
      </c>
      <c r="AG80" s="306">
        <f t="shared" ca="1" si="56"/>
        <v>-8.0371877905895683</v>
      </c>
      <c r="AH80" s="304">
        <f t="shared" ca="1" si="57"/>
        <v>1.5323270582567676</v>
      </c>
    </row>
    <row r="81" spans="1:34" x14ac:dyDescent="0.2">
      <c r="A81" s="347">
        <f t="shared" ca="1" si="35"/>
        <v>0.01</v>
      </c>
      <c r="B81" s="304">
        <f t="shared" ca="1" si="36"/>
        <v>3.9699999999999838</v>
      </c>
      <c r="D81" s="306">
        <f t="shared" ca="1" si="37"/>
        <v>-0.14787706581713767</v>
      </c>
      <c r="E81" s="307">
        <f t="shared" ca="1" si="38"/>
        <v>-10.465161659860961</v>
      </c>
      <c r="F81" s="304">
        <f t="shared" ca="1" si="39"/>
        <v>10.466206389787013</v>
      </c>
      <c r="G81" s="306">
        <f t="shared" ca="1" si="40"/>
        <v>42.408161323643675</v>
      </c>
      <c r="H81" s="307">
        <f t="shared" ca="1" si="41"/>
        <v>187.78905620586653</v>
      </c>
      <c r="I81" s="304">
        <f t="shared" ca="1" si="42"/>
        <v>192.51800377508147</v>
      </c>
      <c r="J81" s="306">
        <f t="shared" ca="1" si="43"/>
        <v>131.60769616641812</v>
      </c>
      <c r="K81" s="307">
        <f t="shared" ca="1" si="44"/>
        <v>637.47164971963605</v>
      </c>
      <c r="L81" s="304">
        <f t="shared" ca="1" si="29"/>
        <v>650.91527089668637</v>
      </c>
      <c r="M81" s="306">
        <f t="shared" ca="1" si="45"/>
        <v>1.3486932413558721</v>
      </c>
      <c r="N81" s="304">
        <f t="shared" ca="1" si="46"/>
        <v>77.274430587510366</v>
      </c>
      <c r="P81" s="310">
        <f t="shared" ca="1" si="47"/>
        <v>6</v>
      </c>
      <c r="Q81" s="304">
        <f t="shared" ca="1" si="48"/>
        <v>85.333333333344228</v>
      </c>
      <c r="R81" s="306">
        <f t="shared" ca="1" si="49"/>
        <v>4.5290648694192803E-2</v>
      </c>
      <c r="S81" s="307">
        <f t="shared" ca="1" si="50"/>
        <v>2.983991828138163</v>
      </c>
      <c r="T81" s="304">
        <f t="shared" ca="1" si="30"/>
        <v>29.27295983403538</v>
      </c>
      <c r="U81" s="311">
        <f t="shared" ca="1" si="31"/>
        <v>0</v>
      </c>
      <c r="V81" s="306">
        <f t="shared" ca="1" si="32"/>
        <v>1.1493218564598575</v>
      </c>
      <c r="W81" s="304">
        <f t="shared" ca="1" si="33"/>
        <v>87.228265089654627</v>
      </c>
      <c r="Y81" s="314" t="str">
        <f t="shared" ca="1" si="51"/>
        <v/>
      </c>
      <c r="Z81" s="315" t="str">
        <f t="shared" ca="1" si="52"/>
        <v/>
      </c>
      <c r="AA81" s="316" t="str">
        <f t="shared" ca="1" si="53"/>
        <v/>
      </c>
      <c r="AC81" s="310" t="e">
        <f t="shared" ca="1" si="54"/>
        <v>#N/A</v>
      </c>
      <c r="AD81" s="323" t="e">
        <f t="shared" ca="1" si="55"/>
        <v>#N/A</v>
      </c>
      <c r="AE81" s="324">
        <f t="shared" ca="1" si="34"/>
        <v>637.47164971963605</v>
      </c>
      <c r="AG81" s="306">
        <f t="shared" ca="1" si="56"/>
        <v>-10.240915917118031</v>
      </c>
      <c r="AH81" s="304">
        <f t="shared" ca="1" si="57"/>
        <v>-0.67164308017462238</v>
      </c>
    </row>
    <row r="82" spans="1:34" x14ac:dyDescent="0.2">
      <c r="A82" s="347">
        <f t="shared" ca="1" si="35"/>
        <v>0.01</v>
      </c>
      <c r="B82" s="304">
        <f t="shared" ca="1" si="36"/>
        <v>3.9799999999999836</v>
      </c>
      <c r="D82" s="306">
        <f t="shared" ca="1" si="37"/>
        <v>-0.63211498930001508</v>
      </c>
      <c r="E82" s="307">
        <f t="shared" ca="1" si="38"/>
        <v>-12.6090904002728</v>
      </c>
      <c r="F82" s="304">
        <f t="shared" ca="1" si="39"/>
        <v>12.624924953517523</v>
      </c>
      <c r="G82" s="306">
        <f t="shared" ca="1" si="40"/>
        <v>42.401840173750678</v>
      </c>
      <c r="H82" s="307">
        <f t="shared" ca="1" si="41"/>
        <v>187.66296530186381</v>
      </c>
      <c r="I82" s="304">
        <f t="shared" ca="1" si="42"/>
        <v>192.39361890668005</v>
      </c>
      <c r="J82" s="306">
        <f t="shared" ca="1" si="43"/>
        <v>132.03174617390511</v>
      </c>
      <c r="K82" s="307">
        <f t="shared" ca="1" si="44"/>
        <v>639.34890982717468</v>
      </c>
      <c r="L82" s="304">
        <f t="shared" ca="1" si="29"/>
        <v>652.83949826502317</v>
      </c>
      <c r="M82" s="306">
        <f t="shared" ca="1" si="45"/>
        <v>1.3485809215257261</v>
      </c>
      <c r="N82" s="304">
        <f t="shared" ca="1" si="46"/>
        <v>77.267995135287379</v>
      </c>
      <c r="P82" s="310">
        <f t="shared" ca="1" si="47"/>
        <v>6</v>
      </c>
      <c r="Q82" s="304">
        <f t="shared" ca="1" si="48"/>
        <v>78.666666666677713</v>
      </c>
      <c r="R82" s="306">
        <f t="shared" ca="1" si="49"/>
        <v>4.1752316764959524E-2</v>
      </c>
      <c r="S82" s="307">
        <f t="shared" ca="1" si="50"/>
        <v>2.9835743049705132</v>
      </c>
      <c r="T82" s="304">
        <f t="shared" ca="1" si="30"/>
        <v>29.268863931760738</v>
      </c>
      <c r="U82" s="311">
        <f t="shared" ca="1" si="31"/>
        <v>0</v>
      </c>
      <c r="V82" s="306">
        <f t="shared" ca="1" si="32"/>
        <v>1.1491058990804333</v>
      </c>
      <c r="W82" s="304">
        <f t="shared" ca="1" si="33"/>
        <v>87.099217052998725</v>
      </c>
      <c r="Y82" s="314" t="str">
        <f t="shared" ca="1" si="51"/>
        <v/>
      </c>
      <c r="Z82" s="315" t="str">
        <f t="shared" ca="1" si="52"/>
        <v/>
      </c>
      <c r="AA82" s="316" t="str">
        <f t="shared" ca="1" si="53"/>
        <v/>
      </c>
      <c r="AC82" s="310" t="e">
        <f t="shared" ca="1" si="54"/>
        <v>#N/A</v>
      </c>
      <c r="AD82" s="323" t="e">
        <f t="shared" ca="1" si="55"/>
        <v>#N/A</v>
      </c>
      <c r="AE82" s="324">
        <f t="shared" ca="1" si="34"/>
        <v>639.34890982717468</v>
      </c>
      <c r="AG82" s="306">
        <f t="shared" ca="1" si="56"/>
        <v>-12.438608199577441</v>
      </c>
      <c r="AH82" s="304">
        <f t="shared" ca="1" si="57"/>
        <v>-2.8695777439541694</v>
      </c>
    </row>
    <row r="83" spans="1:34" x14ac:dyDescent="0.2">
      <c r="A83" s="347">
        <f t="shared" ca="1" si="35"/>
        <v>0.01</v>
      </c>
      <c r="B83" s="304">
        <f t="shared" ca="1" si="36"/>
        <v>3.9899999999999833</v>
      </c>
      <c r="D83" s="306">
        <f t="shared" ca="1" si="37"/>
        <v>-1.1154940019163289</v>
      </c>
      <c r="E83" s="307">
        <f t="shared" ca="1" si="38"/>
        <v>-14.746977058501665</v>
      </c>
      <c r="F83" s="304">
        <f t="shared" ca="1" si="39"/>
        <v>14.789106099838683</v>
      </c>
      <c r="G83" s="306">
        <f t="shared" ca="1" si="40"/>
        <v>42.390685233731517</v>
      </c>
      <c r="H83" s="307">
        <f t="shared" ca="1" si="41"/>
        <v>187.51549553127879</v>
      </c>
      <c r="I83" s="304">
        <f t="shared" ca="1" si="42"/>
        <v>192.2473179498906</v>
      </c>
      <c r="J83" s="306">
        <f t="shared" ca="1" si="43"/>
        <v>132.45570880094252</v>
      </c>
      <c r="K83" s="307">
        <f t="shared" ca="1" si="44"/>
        <v>641.22480213134043</v>
      </c>
      <c r="L83" s="304">
        <f t="shared" ca="1" si="29"/>
        <v>654.76237037748035</v>
      </c>
      <c r="M83" s="306">
        <f t="shared" ca="1" si="45"/>
        <v>1.3484684603137314</v>
      </c>
      <c r="N83" s="304">
        <f t="shared" ca="1" si="46"/>
        <v>77.261551582481147</v>
      </c>
      <c r="P83" s="310">
        <f t="shared" ca="1" si="47"/>
        <v>6</v>
      </c>
      <c r="Q83" s="304">
        <f t="shared" ca="1" si="48"/>
        <v>72.000000000011184</v>
      </c>
      <c r="R83" s="306">
        <f t="shared" ca="1" si="49"/>
        <v>3.8213984835726238E-2</v>
      </c>
      <c r="S83" s="307">
        <f t="shared" ca="1" si="50"/>
        <v>2.9831921651221558</v>
      </c>
      <c r="T83" s="304">
        <f t="shared" ca="1" si="30"/>
        <v>29.265115139848351</v>
      </c>
      <c r="U83" s="311">
        <f t="shared" ca="1" si="31"/>
        <v>0</v>
      </c>
      <c r="V83" s="306">
        <f t="shared" ca="1" si="32"/>
        <v>1.1488901382896832</v>
      </c>
      <c r="W83" s="304">
        <f t="shared" ca="1" si="33"/>
        <v>86.950473298065063</v>
      </c>
      <c r="Y83" s="314" t="str">
        <f t="shared" ca="1" si="51"/>
        <v/>
      </c>
      <c r="Z83" s="315" t="str">
        <f t="shared" ca="1" si="52"/>
        <v/>
      </c>
      <c r="AA83" s="316" t="str">
        <f t="shared" ca="1" si="53"/>
        <v/>
      </c>
      <c r="AC83" s="310" t="e">
        <f t="shared" ca="1" si="54"/>
        <v>#N/A</v>
      </c>
      <c r="AD83" s="323" t="e">
        <f t="shared" ca="1" si="55"/>
        <v>#N/A</v>
      </c>
      <c r="AE83" s="324">
        <f t="shared" ca="1" si="34"/>
        <v>641.22480213134043</v>
      </c>
      <c r="AG83" s="306">
        <f t="shared" ca="1" si="56"/>
        <v>-14.630217251572695</v>
      </c>
      <c r="AH83" s="304">
        <f t="shared" ca="1" si="57"/>
        <v>-5.0614295751776543</v>
      </c>
    </row>
    <row r="84" spans="1:34" x14ac:dyDescent="0.2">
      <c r="A84" s="347">
        <f t="shared" ca="1" si="35"/>
        <v>0.01</v>
      </c>
      <c r="B84" s="304">
        <f t="shared" ca="1" si="36"/>
        <v>3.9999999999999831</v>
      </c>
      <c r="D84" s="306">
        <f t="shared" ca="1" si="37"/>
        <v>-1.5980031677013651</v>
      </c>
      <c r="E84" s="307">
        <f t="shared" ca="1" si="38"/>
        <v>-16.878778298814431</v>
      </c>
      <c r="F84" s="304">
        <f t="shared" ca="1" si="39"/>
        <v>16.954255247120489</v>
      </c>
      <c r="G84" s="306">
        <f t="shared" ca="1" si="40"/>
        <v>42.374705202054507</v>
      </c>
      <c r="H84" s="307">
        <f t="shared" ca="1" si="41"/>
        <v>187.34670774829064</v>
      </c>
      <c r="I84" s="304">
        <f t="shared" ca="1" si="42"/>
        <v>192.0791621834197</v>
      </c>
      <c r="J84" s="306">
        <f t="shared" ca="1" si="43"/>
        <v>132.87953575312144</v>
      </c>
      <c r="K84" s="307">
        <f t="shared" ca="1" si="44"/>
        <v>643.09911314773831</v>
      </c>
      <c r="L84" s="304">
        <f t="shared" ca="1" si="29"/>
        <v>656.68366840768363</v>
      </c>
      <c r="M84" s="306">
        <f t="shared" ca="1" si="45"/>
        <v>1.3483558446235573</v>
      </c>
      <c r="N84" s="304">
        <f t="shared" ca="1" si="46"/>
        <v>77.255099178727221</v>
      </c>
      <c r="P84" s="310">
        <f t="shared" ca="1" si="47"/>
        <v>6</v>
      </c>
      <c r="Q84" s="304">
        <f t="shared" ca="1" si="48"/>
        <v>65.333333333344655</v>
      </c>
      <c r="R84" s="306">
        <f t="shared" ca="1" si="49"/>
        <v>3.4675652906492944E-2</v>
      </c>
      <c r="S84" s="307">
        <f t="shared" ca="1" si="50"/>
        <v>2.9828454085930907</v>
      </c>
      <c r="T84" s="304">
        <f t="shared" ca="1" si="30"/>
        <v>29.261713458298221</v>
      </c>
      <c r="U84" s="311">
        <f t="shared" ca="1" si="31"/>
        <v>0</v>
      </c>
      <c r="V84" s="306">
        <f t="shared" ca="1" si="32"/>
        <v>1.1486745985389155</v>
      </c>
      <c r="W84" s="304">
        <f t="shared" ca="1" si="33"/>
        <v>86.782147356211041</v>
      </c>
      <c r="Y84" s="314" t="str">
        <f t="shared" ca="1" si="51"/>
        <v/>
      </c>
      <c r="Z84" s="315" t="str">
        <f t="shared" ca="1" si="52"/>
        <v/>
      </c>
      <c r="AA84" s="316" t="str">
        <f t="shared" ca="1" si="53"/>
        <v/>
      </c>
      <c r="AC84" s="310">
        <f t="shared" ca="1" si="54"/>
        <v>3.9999999999999831</v>
      </c>
      <c r="AD84" s="323">
        <f t="shared" ca="1" si="55"/>
        <v>132.87953575312144</v>
      </c>
      <c r="AE84" s="324">
        <f t="shared" ca="1" si="34"/>
        <v>643.09911314773831</v>
      </c>
      <c r="AG84" s="306">
        <f t="shared" ca="1" si="56"/>
        <v>-16.815698447309114</v>
      </c>
      <c r="AH84" s="304">
        <f t="shared" ca="1" si="57"/>
        <v>-7.247153976684463</v>
      </c>
    </row>
    <row r="85" spans="1:34" x14ac:dyDescent="0.2">
      <c r="A85" s="347">
        <f t="shared" ca="1" si="35"/>
        <v>0.01</v>
      </c>
      <c r="B85" s="304">
        <f t="shared" ca="1" si="36"/>
        <v>4.0099999999999829</v>
      </c>
      <c r="D85" s="306">
        <f t="shared" ca="1" si="37"/>
        <v>-1.9625225385485137</v>
      </c>
      <c r="E85" s="307">
        <f t="shared" ca="1" si="38"/>
        <v>-18.486688952187819</v>
      </c>
      <c r="F85" s="304">
        <f t="shared" ca="1" si="39"/>
        <v>18.590566509099556</v>
      </c>
      <c r="G85" s="306">
        <f t="shared" ca="1" si="40"/>
        <v>42.355079976669025</v>
      </c>
      <c r="H85" s="307">
        <f t="shared" ca="1" si="41"/>
        <v>187.16184085876876</v>
      </c>
      <c r="I85" s="304">
        <f t="shared" ca="1" si="42"/>
        <v>191.89452173908748</v>
      </c>
      <c r="J85" s="306">
        <f t="shared" ca="1" si="43"/>
        <v>133.30318467901506</v>
      </c>
      <c r="K85" s="307">
        <f t="shared" ca="1" si="44"/>
        <v>644.9716558907736</v>
      </c>
      <c r="L85" s="304">
        <f t="shared" ca="1" si="29"/>
        <v>658.60320068160468</v>
      </c>
      <c r="M85" s="306">
        <f t="shared" ca="1" si="45"/>
        <v>1.3482430644213577</v>
      </c>
      <c r="N85" s="304">
        <f t="shared" ca="1" si="46"/>
        <v>77.248637349128558</v>
      </c>
      <c r="P85" s="310">
        <f t="shared" ca="1" si="47"/>
        <v>7</v>
      </c>
      <c r="Q85" s="304">
        <f t="shared" ca="1" si="48"/>
        <v>60.250000000006018</v>
      </c>
      <c r="R85" s="306">
        <f t="shared" ca="1" si="49"/>
        <v>3.1977674810449698E-2</v>
      </c>
      <c r="S85" s="307">
        <f t="shared" ca="1" si="50"/>
        <v>2.982525631844986</v>
      </c>
      <c r="T85" s="304">
        <f t="shared" ca="1" si="30"/>
        <v>29.258576448399314</v>
      </c>
      <c r="U85" s="311">
        <f t="shared" ca="1" si="31"/>
        <v>0</v>
      </c>
      <c r="V85" s="306">
        <f t="shared" ca="1" si="32"/>
        <v>1.1484593012152908</v>
      </c>
      <c r="W85" s="304">
        <f t="shared" ca="1" si="33"/>
        <v>86.599150522753575</v>
      </c>
      <c r="Y85" s="314" t="str">
        <f t="shared" ca="1" si="51"/>
        <v/>
      </c>
      <c r="Z85" s="315" t="str">
        <f t="shared" ca="1" si="52"/>
        <v/>
      </c>
      <c r="AA85" s="316" t="str">
        <f t="shared" ca="1" si="53"/>
        <v/>
      </c>
      <c r="AC85" s="310" t="e">
        <f t="shared" ca="1" si="54"/>
        <v>#N/A</v>
      </c>
      <c r="AD85" s="323" t="e">
        <f t="shared" ca="1" si="55"/>
        <v>#N/A</v>
      </c>
      <c r="AE85" s="324">
        <f t="shared" ca="1" si="34"/>
        <v>644.9716558907736</v>
      </c>
      <c r="AG85" s="306">
        <f t="shared" ca="1" si="56"/>
        <v>-18.464166472132845</v>
      </c>
      <c r="AH85" s="304">
        <f t="shared" ca="1" si="57"/>
        <v>-8.8958656626170463</v>
      </c>
    </row>
    <row r="86" spans="1:34" x14ac:dyDescent="0.2">
      <c r="A86" s="347">
        <f t="shared" ca="1" si="35"/>
        <v>0.01</v>
      </c>
      <c r="B86" s="304">
        <f t="shared" ca="1" si="36"/>
        <v>4.0199999999999827</v>
      </c>
      <c r="D86" s="306">
        <f t="shared" ca="1" si="37"/>
        <v>-2.2091976972624168</v>
      </c>
      <c r="E86" s="307">
        <f t="shared" ca="1" si="38"/>
        <v>-19.572170395342138</v>
      </c>
      <c r="F86" s="304">
        <f t="shared" ca="1" si="39"/>
        <v>19.696456748610821</v>
      </c>
      <c r="G86" s="306">
        <f t="shared" ca="1" si="40"/>
        <v>42.3329879996964</v>
      </c>
      <c r="H86" s="307">
        <f t="shared" ca="1" si="41"/>
        <v>186.96611915481535</v>
      </c>
      <c r="I86" s="304">
        <f t="shared" ca="1" si="42"/>
        <v>191.69875217328632</v>
      </c>
      <c r="J86" s="306">
        <f t="shared" ca="1" si="43"/>
        <v>133.7266250188969</v>
      </c>
      <c r="K86" s="307">
        <f t="shared" ca="1" si="44"/>
        <v>646.84229569084152</v>
      </c>
      <c r="L86" s="304">
        <f t="shared" ca="1" si="29"/>
        <v>660.52082914435232</v>
      </c>
      <c r="M86" s="306">
        <f t="shared" ca="1" si="45"/>
        <v>1.3481301127525087</v>
      </c>
      <c r="N86" s="304">
        <f t="shared" ca="1" si="46"/>
        <v>77.242165695214553</v>
      </c>
      <c r="P86" s="310">
        <f t="shared" ca="1" si="47"/>
        <v>7</v>
      </c>
      <c r="Q86" s="304">
        <f t="shared" ca="1" si="48"/>
        <v>56.750000000006082</v>
      </c>
      <c r="R86" s="306">
        <f t="shared" ca="1" si="49"/>
        <v>3.0120050547602212E-2</v>
      </c>
      <c r="S86" s="307">
        <f t="shared" ca="1" si="50"/>
        <v>2.9822244313395099</v>
      </c>
      <c r="T86" s="304">
        <f t="shared" ca="1" si="30"/>
        <v>29.255621671440593</v>
      </c>
      <c r="U86" s="311">
        <f t="shared" ca="1" si="31"/>
        <v>0</v>
      </c>
      <c r="V86" s="306">
        <f t="shared" ca="1" si="32"/>
        <v>1.1482442616770843</v>
      </c>
      <c r="W86" s="304">
        <f t="shared" ca="1" si="33"/>
        <v>86.406362944686208</v>
      </c>
      <c r="Y86" s="314" t="str">
        <f t="shared" ca="1" si="51"/>
        <v/>
      </c>
      <c r="Z86" s="315" t="str">
        <f t="shared" ca="1" si="52"/>
        <v/>
      </c>
      <c r="AA86" s="316" t="str">
        <f t="shared" ca="1" si="53"/>
        <v/>
      </c>
      <c r="AC86" s="310" t="e">
        <f t="shared" ca="1" si="54"/>
        <v>#N/A</v>
      </c>
      <c r="AD86" s="323" t="e">
        <f t="shared" ca="1" si="55"/>
        <v>#N/A</v>
      </c>
      <c r="AE86" s="324">
        <f t="shared" ca="1" si="34"/>
        <v>646.84229569084152</v>
      </c>
      <c r="AG86" s="306">
        <f t="shared" ca="1" si="56"/>
        <v>-19.5770788655106</v>
      </c>
      <c r="AH86" s="304">
        <f t="shared" ca="1" si="57"/>
        <v>-10.009022194664373</v>
      </c>
    </row>
    <row r="87" spans="1:34" x14ac:dyDescent="0.2">
      <c r="A87" s="347">
        <f t="shared" ca="1" si="35"/>
        <v>0.01</v>
      </c>
      <c r="B87" s="304">
        <f t="shared" ca="1" si="36"/>
        <v>4.0299999999999825</v>
      </c>
      <c r="D87" s="306">
        <f t="shared" ca="1" si="37"/>
        <v>-2.4554288746076818</v>
      </c>
      <c r="E87" s="307">
        <f t="shared" ca="1" si="38"/>
        <v>-20.654545335409971</v>
      </c>
      <c r="F87" s="304">
        <f t="shared" ca="1" si="39"/>
        <v>20.799984951214817</v>
      </c>
      <c r="G87" s="306">
        <f t="shared" ca="1" si="40"/>
        <v>42.308433710950325</v>
      </c>
      <c r="H87" s="307">
        <f t="shared" ca="1" si="41"/>
        <v>186.75957370146125</v>
      </c>
      <c r="I87" s="304">
        <f t="shared" ca="1" si="42"/>
        <v>191.49188476858598</v>
      </c>
      <c r="J87" s="306">
        <f t="shared" ca="1" si="43"/>
        <v>134.14983212745014</v>
      </c>
      <c r="K87" s="307">
        <f t="shared" ca="1" si="44"/>
        <v>648.71092415512294</v>
      </c>
      <c r="L87" s="304">
        <f t="shared" ca="1" si="29"/>
        <v>662.43644267055299</v>
      </c>
      <c r="M87" s="306">
        <f t="shared" ca="1" si="45"/>
        <v>1.3480169826261741</v>
      </c>
      <c r="N87" s="304">
        <f t="shared" ca="1" si="46"/>
        <v>77.235683816439789</v>
      </c>
      <c r="P87" s="310">
        <f t="shared" ca="1" si="47"/>
        <v>7</v>
      </c>
      <c r="Q87" s="304">
        <f t="shared" ca="1" si="48"/>
        <v>53.250000000006153</v>
      </c>
      <c r="R87" s="306">
        <f t="shared" ca="1" si="49"/>
        <v>2.8262426284754737E-2</v>
      </c>
      <c r="S87" s="307">
        <f t="shared" ca="1" si="50"/>
        <v>2.9819418070766623</v>
      </c>
      <c r="T87" s="304">
        <f t="shared" ca="1" si="30"/>
        <v>29.25284912742206</v>
      </c>
      <c r="U87" s="311">
        <f t="shared" ca="1" si="31"/>
        <v>0</v>
      </c>
      <c r="V87" s="306">
        <f t="shared" ca="1" si="32"/>
        <v>1.148029492251702</v>
      </c>
      <c r="W87" s="304">
        <f t="shared" ca="1" si="33"/>
        <v>86.203849871883435</v>
      </c>
      <c r="Y87" s="314" t="str">
        <f t="shared" ca="1" si="51"/>
        <v/>
      </c>
      <c r="Z87" s="315" t="str">
        <f t="shared" ca="1" si="52"/>
        <v/>
      </c>
      <c r="AA87" s="316" t="str">
        <f t="shared" ca="1" si="53"/>
        <v/>
      </c>
      <c r="AC87" s="310" t="e">
        <f t="shared" ca="1" si="54"/>
        <v>#N/A</v>
      </c>
      <c r="AD87" s="323" t="e">
        <f t="shared" ca="1" si="55"/>
        <v>#N/A</v>
      </c>
      <c r="AE87" s="324">
        <f t="shared" ca="1" si="34"/>
        <v>648.71092415512294</v>
      </c>
      <c r="AG87" s="306">
        <f t="shared" ca="1" si="56"/>
        <v>-20.686863009765034</v>
      </c>
      <c r="AH87" s="304">
        <f t="shared" ca="1" si="57"/>
        <v>-11.119050970744729</v>
      </c>
    </row>
    <row r="88" spans="1:34" x14ac:dyDescent="0.2">
      <c r="A88" s="347">
        <f t="shared" ca="1" si="35"/>
        <v>0.01</v>
      </c>
      <c r="B88" s="304">
        <f t="shared" ca="1" si="36"/>
        <v>4.0399999999999823</v>
      </c>
      <c r="D88" s="306">
        <f t="shared" ca="1" si="37"/>
        <v>-2.7012157222616411</v>
      </c>
      <c r="E88" s="307">
        <f t="shared" ca="1" si="38"/>
        <v>-21.733814060615984</v>
      </c>
      <c r="F88" s="304">
        <f t="shared" ca="1" si="39"/>
        <v>21.90103285234791</v>
      </c>
      <c r="G88" s="306">
        <f t="shared" ca="1" si="40"/>
        <v>42.281421553727711</v>
      </c>
      <c r="H88" s="307">
        <f t="shared" ca="1" si="41"/>
        <v>186.54223556085509</v>
      </c>
      <c r="I88" s="304">
        <f t="shared" ca="1" si="42"/>
        <v>191.27395080524056</v>
      </c>
      <c r="J88" s="306">
        <f t="shared" ca="1" si="43"/>
        <v>134.57278140377352</v>
      </c>
      <c r="K88" s="307">
        <f t="shared" ca="1" si="44"/>
        <v>650.57743320143447</v>
      </c>
      <c r="L88" s="304">
        <f t="shared" ca="1" si="29"/>
        <v>664.34993044758778</v>
      </c>
      <c r="M88" s="306">
        <f t="shared" ca="1" si="45"/>
        <v>1.3479036670128139</v>
      </c>
      <c r="N88" s="304">
        <f t="shared" ca="1" si="46"/>
        <v>77.229191310041315</v>
      </c>
      <c r="P88" s="310">
        <f t="shared" ca="1" si="47"/>
        <v>7</v>
      </c>
      <c r="Q88" s="304">
        <f t="shared" ca="1" si="48"/>
        <v>49.750000000006224</v>
      </c>
      <c r="R88" s="306">
        <f t="shared" ca="1" si="49"/>
        <v>2.6404802021907259E-2</v>
      </c>
      <c r="S88" s="307">
        <f t="shared" ca="1" si="50"/>
        <v>2.9816777590564434</v>
      </c>
      <c r="T88" s="304">
        <f t="shared" ca="1" si="30"/>
        <v>29.25025881634371</v>
      </c>
      <c r="U88" s="311">
        <f t="shared" ca="1" si="31"/>
        <v>0</v>
      </c>
      <c r="V88" s="306">
        <f t="shared" ca="1" si="32"/>
        <v>1.1478150052220399</v>
      </c>
      <c r="W88" s="304">
        <f t="shared" ca="1" si="33"/>
        <v>85.991678101537175</v>
      </c>
      <c r="Y88" s="314" t="str">
        <f t="shared" ca="1" si="51"/>
        <v/>
      </c>
      <c r="Z88" s="315" t="str">
        <f t="shared" ca="1" si="52"/>
        <v/>
      </c>
      <c r="AA88" s="316" t="str">
        <f t="shared" ca="1" si="53"/>
        <v/>
      </c>
      <c r="AC88" s="310" t="e">
        <f t="shared" ca="1" si="54"/>
        <v>#N/A</v>
      </c>
      <c r="AD88" s="323" t="e">
        <f t="shared" ca="1" si="55"/>
        <v>#N/A</v>
      </c>
      <c r="AE88" s="324">
        <f t="shared" ca="1" si="34"/>
        <v>650.57743320143447</v>
      </c>
      <c r="AG88" s="306">
        <f t="shared" ca="1" si="56"/>
        <v>-21.793519136516281</v>
      </c>
      <c r="AH88" s="304">
        <f t="shared" ca="1" si="57"/>
        <v>-12.225952238183206</v>
      </c>
    </row>
    <row r="89" spans="1:34" x14ac:dyDescent="0.2">
      <c r="A89" s="347">
        <f t="shared" ca="1" si="35"/>
        <v>0.01</v>
      </c>
      <c r="B89" s="304">
        <f t="shared" ca="1" si="36"/>
        <v>4.0499999999999821</v>
      </c>
      <c r="D89" s="306">
        <f t="shared" ca="1" si="37"/>
        <v>-2.9465580600456591</v>
      </c>
      <c r="E89" s="307">
        <f t="shared" ca="1" si="38"/>
        <v>-22.809977473139458</v>
      </c>
      <c r="F89" s="304">
        <f t="shared" ca="1" si="39"/>
        <v>22.999506010485302</v>
      </c>
      <c r="G89" s="306">
        <f t="shared" ca="1" si="40"/>
        <v>42.251955973127252</v>
      </c>
      <c r="H89" s="307">
        <f t="shared" ca="1" si="41"/>
        <v>186.3141357861237</v>
      </c>
      <c r="I89" s="304">
        <f t="shared" ca="1" si="42"/>
        <v>191.04498155482972</v>
      </c>
      <c r="J89" s="306">
        <f t="shared" ca="1" si="43"/>
        <v>134.9954482914078</v>
      </c>
      <c r="K89" s="307">
        <f t="shared" ca="1" si="44"/>
        <v>652.44171505816939</v>
      </c>
      <c r="L89" s="304">
        <f t="shared" ca="1" si="29"/>
        <v>666.26118197554001</v>
      </c>
      <c r="M89" s="306">
        <f t="shared" ca="1" si="45"/>
        <v>1.3477901588416654</v>
      </c>
      <c r="N89" s="304">
        <f t="shared" ca="1" si="46"/>
        <v>77.222687770894268</v>
      </c>
      <c r="P89" s="310">
        <f t="shared" ca="1" si="47"/>
        <v>8</v>
      </c>
      <c r="Q89" s="304">
        <f t="shared" ca="1" si="48"/>
        <v>46.250000000006295</v>
      </c>
      <c r="R89" s="306">
        <f t="shared" ca="1" si="49"/>
        <v>2.4547177759059784E-2</v>
      </c>
      <c r="S89" s="307">
        <f t="shared" ca="1" si="50"/>
        <v>2.981432287278853</v>
      </c>
      <c r="T89" s="304">
        <f t="shared" ca="1" si="30"/>
        <v>29.24785073820555</v>
      </c>
      <c r="U89" s="311">
        <f t="shared" ca="1" si="31"/>
        <v>0</v>
      </c>
      <c r="V89" s="306">
        <f t="shared" ca="1" si="32"/>
        <v>1.147600812826552</v>
      </c>
      <c r="W89" s="304">
        <f t="shared" ca="1" si="33"/>
        <v>85.769915953793827</v>
      </c>
      <c r="Y89" s="314" t="str">
        <f t="shared" ca="1" si="51"/>
        <v/>
      </c>
      <c r="Z89" s="315" t="str">
        <f t="shared" ca="1" si="52"/>
        <v/>
      </c>
      <c r="AA89" s="316" t="str">
        <f t="shared" ca="1" si="53"/>
        <v/>
      </c>
      <c r="AC89" s="310" t="e">
        <f t="shared" ca="1" si="54"/>
        <v>#N/A</v>
      </c>
      <c r="AD89" s="323" t="e">
        <f t="shared" ca="1" si="55"/>
        <v>#N/A</v>
      </c>
      <c r="AE89" s="324">
        <f t="shared" ca="1" si="34"/>
        <v>652.44171505816939</v>
      </c>
      <c r="AG89" s="306">
        <f t="shared" ca="1" si="56"/>
        <v>-22.897048113263054</v>
      </c>
      <c r="AH89" s="304">
        <f t="shared" ca="1" si="57"/>
        <v>-13.329726880298539</v>
      </c>
    </row>
    <row r="90" spans="1:34" x14ac:dyDescent="0.2">
      <c r="A90" s="347">
        <f t="shared" ca="1" si="35"/>
        <v>0.01</v>
      </c>
      <c r="B90" s="304">
        <f t="shared" ca="1" si="36"/>
        <v>4.0599999999999818</v>
      </c>
      <c r="D90" s="306">
        <f t="shared" ca="1" si="37"/>
        <v>-3.1914558745465671</v>
      </c>
      <c r="E90" s="307">
        <f t="shared" ca="1" si="38"/>
        <v>-23.883037081262525</v>
      </c>
      <c r="F90" s="304">
        <f t="shared" ca="1" si="39"/>
        <v>24.095328402496168</v>
      </c>
      <c r="G90" s="306">
        <f t="shared" ca="1" si="40"/>
        <v>42.220041414381789</v>
      </c>
      <c r="H90" s="307">
        <f t="shared" ca="1" si="41"/>
        <v>186.07530541531108</v>
      </c>
      <c r="I90" s="304">
        <f t="shared" ca="1" si="42"/>
        <v>190.80500827397955</v>
      </c>
      <c r="J90" s="306">
        <f t="shared" ca="1" si="43"/>
        <v>135.41780827834535</v>
      </c>
      <c r="K90" s="307">
        <f t="shared" ca="1" si="44"/>
        <v>654.30366226417652</v>
      </c>
      <c r="L90" s="304">
        <f t="shared" ca="1" si="29"/>
        <v>668.17008706707622</v>
      </c>
      <c r="M90" s="306">
        <f t="shared" ca="1" si="45"/>
        <v>1.3476764509981893</v>
      </c>
      <c r="N90" s="304">
        <f t="shared" ca="1" si="46"/>
        <v>77.216172791365551</v>
      </c>
      <c r="P90" s="310">
        <f t="shared" ca="1" si="47"/>
        <v>8</v>
      </c>
      <c r="Q90" s="304">
        <f t="shared" ca="1" si="48"/>
        <v>42.750000000006374</v>
      </c>
      <c r="R90" s="306">
        <f t="shared" ca="1" si="49"/>
        <v>2.2689553496212312E-2</v>
      </c>
      <c r="S90" s="307">
        <f t="shared" ca="1" si="50"/>
        <v>2.9812053917438908</v>
      </c>
      <c r="T90" s="304">
        <f t="shared" ca="1" si="30"/>
        <v>29.24562489300757</v>
      </c>
      <c r="U90" s="311">
        <f t="shared" ca="1" si="31"/>
        <v>0</v>
      </c>
      <c r="V90" s="306">
        <f t="shared" ca="1" si="32"/>
        <v>1.1473869272593282</v>
      </c>
      <c r="W90" s="304">
        <f t="shared" ca="1" si="33"/>
        <v>85.538633247603741</v>
      </c>
      <c r="Y90" s="314" t="str">
        <f t="shared" ca="1" si="51"/>
        <v/>
      </c>
      <c r="Z90" s="315" t="str">
        <f t="shared" ca="1" si="52"/>
        <v/>
      </c>
      <c r="AA90" s="316" t="str">
        <f t="shared" ca="1" si="53"/>
        <v/>
      </c>
      <c r="AC90" s="310" t="e">
        <f t="shared" ca="1" si="54"/>
        <v>#N/A</v>
      </c>
      <c r="AD90" s="323" t="e">
        <f t="shared" ca="1" si="55"/>
        <v>#N/A</v>
      </c>
      <c r="AE90" s="324">
        <f t="shared" ca="1" si="34"/>
        <v>654.30366226417652</v>
      </c>
      <c r="AG90" s="306">
        <f t="shared" ca="1" si="56"/>
        <v>-23.997451435431294</v>
      </c>
      <c r="AH90" s="304">
        <f t="shared" ca="1" si="57"/>
        <v>-14.430376408457537</v>
      </c>
    </row>
    <row r="91" spans="1:34" x14ac:dyDescent="0.2">
      <c r="A91" s="347">
        <f t="shared" ca="1" si="35"/>
        <v>0.01</v>
      </c>
      <c r="B91" s="304">
        <f t="shared" ca="1" si="36"/>
        <v>4.0699999999999816</v>
      </c>
      <c r="D91" s="306">
        <f t="shared" ca="1" si="37"/>
        <v>-3.4359093177514466</v>
      </c>
      <c r="E91" s="307">
        <f t="shared" ca="1" si="38"/>
        <v>-24.952994991523859</v>
      </c>
      <c r="F91" s="304">
        <f t="shared" ca="1" si="39"/>
        <v>25.18843845669727</v>
      </c>
      <c r="G91" s="306">
        <f t="shared" ca="1" si="40"/>
        <v>42.185682321204276</v>
      </c>
      <c r="H91" s="307">
        <f t="shared" ca="1" si="41"/>
        <v>185.82577546539585</v>
      </c>
      <c r="I91" s="304">
        <f t="shared" ca="1" si="42"/>
        <v>190.55406219816277</v>
      </c>
      <c r="J91" s="306">
        <f t="shared" ca="1" si="43"/>
        <v>135.83983689702328</v>
      </c>
      <c r="K91" s="307">
        <f t="shared" ca="1" si="44"/>
        <v>656.16316766858006</v>
      </c>
      <c r="L91" s="304">
        <f t="shared" ca="1" si="29"/>
        <v>670.07653584726791</v>
      </c>
      <c r="M91" s="306">
        <f t="shared" ca="1" si="45"/>
        <v>1.3475625363214858</v>
      </c>
      <c r="N91" s="304">
        <f t="shared" ca="1" si="46"/>
        <v>77.209645961165847</v>
      </c>
      <c r="P91" s="310">
        <f t="shared" ca="1" si="47"/>
        <v>8</v>
      </c>
      <c r="Q91" s="304">
        <f t="shared" ca="1" si="48"/>
        <v>39.250000000006452</v>
      </c>
      <c r="R91" s="306">
        <f t="shared" ca="1" si="49"/>
        <v>2.0831929233364837E-2</v>
      </c>
      <c r="S91" s="307">
        <f t="shared" ca="1" si="50"/>
        <v>2.9809970724515571</v>
      </c>
      <c r="T91" s="304">
        <f t="shared" ca="1" si="30"/>
        <v>29.243581280749776</v>
      </c>
      <c r="U91" s="311">
        <f t="shared" ca="1" si="31"/>
        <v>0</v>
      </c>
      <c r="V91" s="306">
        <f t="shared" ca="1" si="32"/>
        <v>1.1471733606701819</v>
      </c>
      <c r="W91" s="304">
        <f t="shared" ca="1" si="33"/>
        <v>85.29790127678902</v>
      </c>
      <c r="Y91" s="314" t="str">
        <f t="shared" ca="1" si="51"/>
        <v/>
      </c>
      <c r="Z91" s="315" t="str">
        <f t="shared" ca="1" si="52"/>
        <v/>
      </c>
      <c r="AA91" s="316" t="str">
        <f t="shared" ca="1" si="53"/>
        <v/>
      </c>
      <c r="AC91" s="310" t="e">
        <f t="shared" ca="1" si="54"/>
        <v>#N/A</v>
      </c>
      <c r="AD91" s="323" t="e">
        <f t="shared" ca="1" si="55"/>
        <v>#N/A</v>
      </c>
      <c r="AE91" s="324">
        <f t="shared" ca="1" si="34"/>
        <v>656.16316766858006</v>
      </c>
      <c r="AG91" s="306">
        <f t="shared" ca="1" si="56"/>
        <v>-25.094731218431189</v>
      </c>
      <c r="AH91" s="304">
        <f t="shared" ca="1" si="57"/>
        <v>-15.527902954138009</v>
      </c>
    </row>
    <row r="92" spans="1:34" x14ac:dyDescent="0.2">
      <c r="A92" s="347">
        <f t="shared" ca="1" si="35"/>
        <v>0.01</v>
      </c>
      <c r="B92" s="304">
        <f t="shared" ca="1" si="36"/>
        <v>4.0799999999999814</v>
      </c>
      <c r="D92" s="306">
        <f t="shared" ca="1" si="37"/>
        <v>-3.6799187056965934</v>
      </c>
      <c r="E92" s="307">
        <f t="shared" ca="1" si="38"/>
        <v>-26.019853900880655</v>
      </c>
      <c r="F92" s="304">
        <f t="shared" ca="1" si="39"/>
        <v>26.278786096464007</v>
      </c>
      <c r="G92" s="306">
        <f t="shared" ca="1" si="40"/>
        <v>42.148883134147312</v>
      </c>
      <c r="H92" s="307">
        <f t="shared" ca="1" si="41"/>
        <v>185.56557692638705</v>
      </c>
      <c r="I92" s="304">
        <f t="shared" ca="1" si="42"/>
        <v>190.292174535578</v>
      </c>
      <c r="J92" s="306">
        <f t="shared" ca="1" si="43"/>
        <v>136.26150972430003</v>
      </c>
      <c r="K92" s="307">
        <f t="shared" ca="1" si="44"/>
        <v>658.020124430539</v>
      </c>
      <c r="L92" s="304">
        <f t="shared" ca="1" si="29"/>
        <v>671.98041875334991</v>
      </c>
      <c r="M92" s="306">
        <f t="shared" ca="1" si="45"/>
        <v>1.3474484076016702</v>
      </c>
      <c r="N92" s="304">
        <f t="shared" ca="1" si="46"/>
        <v>77.203106867199168</v>
      </c>
      <c r="P92" s="310">
        <f t="shared" ca="1" si="47"/>
        <v>8</v>
      </c>
      <c r="Q92" s="304">
        <f t="shared" ca="1" si="48"/>
        <v>35.750000000006523</v>
      </c>
      <c r="R92" s="306">
        <f t="shared" ca="1" si="49"/>
        <v>1.8974304970517362E-2</v>
      </c>
      <c r="S92" s="307">
        <f t="shared" ca="1" si="50"/>
        <v>2.980807329401852</v>
      </c>
      <c r="T92" s="304">
        <f t="shared" ca="1" si="30"/>
        <v>29.24171990143217</v>
      </c>
      <c r="U92" s="311">
        <f t="shared" ca="1" si="31"/>
        <v>0</v>
      </c>
      <c r="V92" s="306">
        <f t="shared" ca="1" si="32"/>
        <v>1.1469601251647412</v>
      </c>
      <c r="W92" s="304">
        <f t="shared" ca="1" si="33"/>
        <v>85.047792786334767</v>
      </c>
      <c r="Y92" s="314" t="str">
        <f t="shared" ca="1" si="51"/>
        <v/>
      </c>
      <c r="Z92" s="315" t="str">
        <f t="shared" ca="1" si="52"/>
        <v/>
      </c>
      <c r="AA92" s="316" t="str">
        <f t="shared" ca="1" si="53"/>
        <v/>
      </c>
      <c r="AC92" s="310" t="e">
        <f t="shared" ca="1" si="54"/>
        <v>#N/A</v>
      </c>
      <c r="AD92" s="323" t="e">
        <f t="shared" ca="1" si="55"/>
        <v>#N/A</v>
      </c>
      <c r="AE92" s="324">
        <f t="shared" ca="1" si="34"/>
        <v>658.020124430539</v>
      </c>
      <c r="AG92" s="306">
        <f t="shared" ca="1" si="56"/>
        <v>-26.188890189725598</v>
      </c>
      <c r="AH92" s="304">
        <f t="shared" ca="1" si="57"/>
        <v>-16.62230926100316</v>
      </c>
    </row>
    <row r="93" spans="1:34" x14ac:dyDescent="0.2">
      <c r="A93" s="347">
        <f t="shared" ca="1" si="35"/>
        <v>0.01</v>
      </c>
      <c r="B93" s="304">
        <f t="shared" ca="1" si="36"/>
        <v>4.0899999999999812</v>
      </c>
      <c r="D93" s="306">
        <f t="shared" ca="1" si="37"/>
        <v>-3.8863322145731938</v>
      </c>
      <c r="E93" s="307">
        <f t="shared" ca="1" si="38"/>
        <v>-26.920049564768085</v>
      </c>
      <c r="F93" s="304">
        <f t="shared" ca="1" si="39"/>
        <v>27.199129520107803</v>
      </c>
      <c r="G93" s="306">
        <f t="shared" ca="1" si="40"/>
        <v>42.110019812001582</v>
      </c>
      <c r="H93" s="307">
        <f t="shared" ca="1" si="41"/>
        <v>185.29637643073937</v>
      </c>
      <c r="I93" s="304">
        <f t="shared" ca="1" si="42"/>
        <v>190.02105379912359</v>
      </c>
      <c r="J93" s="306">
        <f t="shared" ca="1" si="43"/>
        <v>136.68280423903076</v>
      </c>
      <c r="K93" s="307">
        <f t="shared" ca="1" si="44"/>
        <v>659.8744341973246</v>
      </c>
      <c r="L93" s="304">
        <f t="shared" ca="1" si="29"/>
        <v>673.8816349195788</v>
      </c>
      <c r="M93" s="306">
        <f t="shared" ca="1" si="45"/>
        <v>1.3473340585865936</v>
      </c>
      <c r="N93" s="304">
        <f t="shared" ca="1" si="46"/>
        <v>77.196555151243814</v>
      </c>
      <c r="P93" s="310">
        <f t="shared" ca="1" si="47"/>
        <v>9</v>
      </c>
      <c r="Q93" s="304">
        <f t="shared" ca="1" si="48"/>
        <v>32.750000000004718</v>
      </c>
      <c r="R93" s="306">
        <f t="shared" ca="1" si="49"/>
        <v>1.738205560236139E-2</v>
      </c>
      <c r="S93" s="307">
        <f t="shared" ca="1" si="50"/>
        <v>2.9806335088458282</v>
      </c>
      <c r="T93" s="304">
        <f t="shared" ca="1" si="30"/>
        <v>29.240014721777577</v>
      </c>
      <c r="U93" s="311">
        <f t="shared" ca="1" si="31"/>
        <v>0</v>
      </c>
      <c r="V93" s="306">
        <f t="shared" ca="1" si="32"/>
        <v>1.1467472318656784</v>
      </c>
      <c r="W93" s="304">
        <f t="shared" ca="1" si="33"/>
        <v>84.789878773194118</v>
      </c>
      <c r="Y93" s="314" t="str">
        <f t="shared" ca="1" si="51"/>
        <v/>
      </c>
      <c r="Z93" s="315" t="str">
        <f t="shared" ca="1" si="52"/>
        <v/>
      </c>
      <c r="AA93" s="316" t="str">
        <f t="shared" ca="1" si="53"/>
        <v/>
      </c>
      <c r="AC93" s="310" t="e">
        <f t="shared" ca="1" si="54"/>
        <v>#N/A</v>
      </c>
      <c r="AD93" s="323" t="e">
        <f t="shared" ca="1" si="55"/>
        <v>#N/A</v>
      </c>
      <c r="AE93" s="324">
        <f t="shared" ca="1" si="34"/>
        <v>659.8744341973246</v>
      </c>
      <c r="AG93" s="306">
        <f t="shared" ca="1" si="56"/>
        <v>-27.11219787832654</v>
      </c>
      <c r="AH93" s="304">
        <f t="shared" ca="1" si="57"/>
        <v>-17.545864874404163</v>
      </c>
    </row>
    <row r="94" spans="1:34" x14ac:dyDescent="0.2">
      <c r="A94" s="347">
        <f t="shared" ca="1" si="35"/>
        <v>0.01</v>
      </c>
      <c r="B94" s="304">
        <f t="shared" ca="1" si="36"/>
        <v>4.099999999999981</v>
      </c>
      <c r="D94" s="306">
        <f t="shared" ca="1" si="37"/>
        <v>-4.0552039958011505</v>
      </c>
      <c r="E94" s="307">
        <f t="shared" ca="1" si="38"/>
        <v>-27.654081039716147</v>
      </c>
      <c r="F94" s="304">
        <f t="shared" ca="1" si="39"/>
        <v>27.949827863490494</v>
      </c>
      <c r="G94" s="306">
        <f t="shared" ca="1" si="40"/>
        <v>42.069467772043573</v>
      </c>
      <c r="H94" s="307">
        <f t="shared" ca="1" si="41"/>
        <v>185.01983562034221</v>
      </c>
      <c r="I94" s="304">
        <f t="shared" ca="1" si="42"/>
        <v>189.74240351487452</v>
      </c>
      <c r="J94" s="306">
        <f t="shared" ca="1" si="43"/>
        <v>137.10370167695098</v>
      </c>
      <c r="K94" s="307">
        <f t="shared" ca="1" si="44"/>
        <v>661.72601525758</v>
      </c>
      <c r="L94" s="304">
        <f t="shared" ca="1" si="29"/>
        <v>675.78010053729565</v>
      </c>
      <c r="M94" s="306">
        <f t="shared" ca="1" si="45"/>
        <v>1.3472194839906744</v>
      </c>
      <c r="N94" s="304">
        <f t="shared" ca="1" si="46"/>
        <v>77.189990510458216</v>
      </c>
      <c r="P94" s="310">
        <f t="shared" ca="1" si="47"/>
        <v>9</v>
      </c>
      <c r="Q94" s="304">
        <f t="shared" ca="1" si="48"/>
        <v>30.250000000004775</v>
      </c>
      <c r="R94" s="306">
        <f t="shared" ca="1" si="49"/>
        <v>1.6055181128898911E-2</v>
      </c>
      <c r="S94" s="307">
        <f t="shared" ca="1" si="50"/>
        <v>2.9804729570345394</v>
      </c>
      <c r="T94" s="304">
        <f t="shared" ca="1" si="30"/>
        <v>29.238439708508832</v>
      </c>
      <c r="U94" s="311">
        <f t="shared" ca="1" si="31"/>
        <v>0</v>
      </c>
      <c r="V94" s="306">
        <f t="shared" ca="1" si="32"/>
        <v>1.1465346899777937</v>
      </c>
      <c r="W94" s="304">
        <f t="shared" ca="1" si="33"/>
        <v>84.525717125860496</v>
      </c>
      <c r="Y94" s="314" t="str">
        <f t="shared" ca="1" si="51"/>
        <v/>
      </c>
      <c r="Z94" s="315" t="str">
        <f t="shared" ca="1" si="52"/>
        <v/>
      </c>
      <c r="AA94" s="316" t="str">
        <f t="shared" ca="1" si="53"/>
        <v/>
      </c>
      <c r="AC94" s="310" t="e">
        <f t="shared" ca="1" si="54"/>
        <v>#N/A</v>
      </c>
      <c r="AD94" s="323" t="e">
        <f t="shared" ca="1" si="55"/>
        <v>#N/A</v>
      </c>
      <c r="AE94" s="324">
        <f t="shared" ca="1" si="34"/>
        <v>661.72601525758</v>
      </c>
      <c r="AG94" s="306">
        <f t="shared" ca="1" si="56"/>
        <v>-27.865152965543288</v>
      </c>
      <c r="AH94" s="304">
        <f t="shared" ca="1" si="57"/>
        <v>-18.299068489940105</v>
      </c>
    </row>
    <row r="95" spans="1:34" x14ac:dyDescent="0.2">
      <c r="A95" s="347">
        <f t="shared" ca="1" si="35"/>
        <v>0.01</v>
      </c>
      <c r="B95" s="304">
        <f t="shared" ca="1" si="36"/>
        <v>4.1099999999999808</v>
      </c>
      <c r="D95" s="306">
        <f t="shared" ca="1" si="37"/>
        <v>-4.2237822863999259</v>
      </c>
      <c r="E95" s="307">
        <f t="shared" ca="1" si="38"/>
        <v>-28.386025457710858</v>
      </c>
      <c r="F95" s="304">
        <f t="shared" ca="1" si="39"/>
        <v>28.698550104294725</v>
      </c>
      <c r="G95" s="306">
        <f t="shared" ca="1" si="40"/>
        <v>42.027229949179571</v>
      </c>
      <c r="H95" s="307">
        <f t="shared" ca="1" si="41"/>
        <v>184.73597536576509</v>
      </c>
      <c r="I95" s="304">
        <f t="shared" ca="1" si="42"/>
        <v>189.45624468869266</v>
      </c>
      <c r="J95" s="306">
        <f t="shared" ca="1" si="43"/>
        <v>137.5241851655571</v>
      </c>
      <c r="K95" s="307">
        <f t="shared" ca="1" si="44"/>
        <v>663.57479431251056</v>
      </c>
      <c r="L95" s="304">
        <f t="shared" ca="1" si="29"/>
        <v>677.67574041892715</v>
      </c>
      <c r="M95" s="306">
        <f t="shared" ca="1" si="45"/>
        <v>1.347104678488183</v>
      </c>
      <c r="N95" s="304">
        <f t="shared" ca="1" si="46"/>
        <v>77.183412639700592</v>
      </c>
      <c r="P95" s="310">
        <f t="shared" ca="1" si="47"/>
        <v>9</v>
      </c>
      <c r="Q95" s="304">
        <f t="shared" ca="1" si="48"/>
        <v>27.750000000004832</v>
      </c>
      <c r="R95" s="306">
        <f t="shared" ca="1" si="49"/>
        <v>1.4728306655436429E-2</v>
      </c>
      <c r="S95" s="307">
        <f t="shared" ca="1" si="50"/>
        <v>2.9803256739679851</v>
      </c>
      <c r="T95" s="304">
        <f t="shared" ca="1" si="30"/>
        <v>29.236994861625934</v>
      </c>
      <c r="U95" s="311">
        <f t="shared" ca="1" si="31"/>
        <v>0</v>
      </c>
      <c r="V95" s="306">
        <f t="shared" ca="1" si="32"/>
        <v>1.1463225077340864</v>
      </c>
      <c r="W95" s="304">
        <f t="shared" ca="1" si="33"/>
        <v>84.255359993601431</v>
      </c>
      <c r="Y95" s="314" t="str">
        <f t="shared" ca="1" si="51"/>
        <v/>
      </c>
      <c r="Z95" s="315" t="str">
        <f t="shared" ca="1" si="52"/>
        <v/>
      </c>
      <c r="AA95" s="316" t="str">
        <f t="shared" ca="1" si="53"/>
        <v/>
      </c>
      <c r="AC95" s="310" t="e">
        <f t="shared" ca="1" si="54"/>
        <v>#N/A</v>
      </c>
      <c r="AD95" s="323" t="e">
        <f t="shared" ca="1" si="55"/>
        <v>#N/A</v>
      </c>
      <c r="AE95" s="324">
        <f t="shared" ca="1" si="34"/>
        <v>663.57479431251056</v>
      </c>
      <c r="AG95" s="306">
        <f t="shared" ca="1" si="56"/>
        <v>-28.616007472724423</v>
      </c>
      <c r="AH95" s="304">
        <f t="shared" ca="1" si="57"/>
        <v>-19.050172141175722</v>
      </c>
    </row>
    <row r="96" spans="1:34" x14ac:dyDescent="0.2">
      <c r="A96" s="347">
        <f t="shared" ca="1" si="35"/>
        <v>0.01</v>
      </c>
      <c r="B96" s="304">
        <f t="shared" ca="1" si="36"/>
        <v>4.1199999999999806</v>
      </c>
      <c r="D96" s="306">
        <f t="shared" ca="1" si="37"/>
        <v>-4.3920685612533665</v>
      </c>
      <c r="E96" s="307">
        <f t="shared" ca="1" si="38"/>
        <v>-29.11588978901505</v>
      </c>
      <c r="F96" s="304">
        <f t="shared" ca="1" si="39"/>
        <v>29.445293417672392</v>
      </c>
      <c r="G96" s="306">
        <f t="shared" ca="1" si="40"/>
        <v>41.983309263567037</v>
      </c>
      <c r="H96" s="307">
        <f t="shared" ca="1" si="41"/>
        <v>184.44481646787494</v>
      </c>
      <c r="I96" s="304">
        <f t="shared" ca="1" si="42"/>
        <v>189.16259825501547</v>
      </c>
      <c r="J96" s="306">
        <f t="shared" ca="1" si="43"/>
        <v>137.94423786162082</v>
      </c>
      <c r="K96" s="307">
        <f t="shared" ca="1" si="44"/>
        <v>665.42069827167882</v>
      </c>
      <c r="L96" s="304">
        <f t="shared" ca="1" si="29"/>
        <v>679.56847958656238</v>
      </c>
      <c r="M96" s="306">
        <f t="shared" ca="1" si="45"/>
        <v>1.346989636711772</v>
      </c>
      <c r="N96" s="304">
        <f t="shared" ca="1" si="46"/>
        <v>77.176821231444549</v>
      </c>
      <c r="P96" s="310">
        <f t="shared" ca="1" si="47"/>
        <v>9</v>
      </c>
      <c r="Q96" s="304">
        <f t="shared" ca="1" si="48"/>
        <v>25.250000000004885</v>
      </c>
      <c r="R96" s="306">
        <f t="shared" ca="1" si="49"/>
        <v>1.3401432181973948E-2</v>
      </c>
      <c r="S96" s="307">
        <f t="shared" ca="1" si="50"/>
        <v>2.9801916596461653</v>
      </c>
      <c r="T96" s="304">
        <f t="shared" ca="1" si="30"/>
        <v>29.235680181128881</v>
      </c>
      <c r="U96" s="311">
        <f t="shared" ca="1" si="31"/>
        <v>0</v>
      </c>
      <c r="V96" s="306">
        <f t="shared" ca="1" si="32"/>
        <v>1.1461106933379799</v>
      </c>
      <c r="W96" s="304">
        <f t="shared" ca="1" si="33"/>
        <v>83.978860087761873</v>
      </c>
      <c r="Y96" s="314" t="str">
        <f t="shared" ca="1" si="51"/>
        <v/>
      </c>
      <c r="Z96" s="315" t="str">
        <f t="shared" ca="1" si="52"/>
        <v/>
      </c>
      <c r="AA96" s="316" t="str">
        <f t="shared" ca="1" si="53"/>
        <v/>
      </c>
      <c r="AC96" s="310" t="e">
        <f t="shared" ca="1" si="54"/>
        <v>#N/A</v>
      </c>
      <c r="AD96" s="323" t="e">
        <f t="shared" ca="1" si="55"/>
        <v>#N/A</v>
      </c>
      <c r="AE96" s="324">
        <f t="shared" ca="1" si="34"/>
        <v>665.42069827167882</v>
      </c>
      <c r="AG96" s="306">
        <f t="shared" ca="1" si="56"/>
        <v>-29.364768542381071</v>
      </c>
      <c r="AH96" s="304">
        <f t="shared" ca="1" si="57"/>
        <v>-19.799182982950224</v>
      </c>
    </row>
    <row r="97" spans="1:34" x14ac:dyDescent="0.2">
      <c r="A97" s="347">
        <f t="shared" ca="1" si="35"/>
        <v>0.01</v>
      </c>
      <c r="B97" s="304">
        <f t="shared" ca="1" si="36"/>
        <v>4.1299999999999804</v>
      </c>
      <c r="D97" s="306">
        <f t="shared" ca="1" si="37"/>
        <v>-4.5507559127893336</v>
      </c>
      <c r="E97" s="307">
        <f t="shared" ca="1" si="38"/>
        <v>-29.80278651082709</v>
      </c>
      <c r="F97" s="304">
        <f t="shared" ca="1" si="39"/>
        <v>30.148224876229847</v>
      </c>
      <c r="G97" s="306">
        <f t="shared" ca="1" si="40"/>
        <v>41.937801704439146</v>
      </c>
      <c r="H97" s="307">
        <f t="shared" ca="1" si="41"/>
        <v>184.14678860276666</v>
      </c>
      <c r="I97" s="304">
        <f t="shared" ca="1" si="42"/>
        <v>188.86190448185388</v>
      </c>
      <c r="J97" s="306">
        <f t="shared" ca="1" si="43"/>
        <v>138.36384341646084</v>
      </c>
      <c r="K97" s="307">
        <f t="shared" ca="1" si="44"/>
        <v>667.26365629703207</v>
      </c>
      <c r="L97" s="304">
        <f t="shared" ca="1" si="29"/>
        <v>681.45824536787188</v>
      </c>
      <c r="M97" s="306">
        <f t="shared" ca="1" si="45"/>
        <v>1.346874353506992</v>
      </c>
      <c r="N97" s="304">
        <f t="shared" ca="1" si="46"/>
        <v>77.17021599036191</v>
      </c>
      <c r="P97" s="310">
        <f t="shared" ca="1" si="47"/>
        <v>10</v>
      </c>
      <c r="Q97" s="304">
        <f t="shared" ca="1" si="48"/>
        <v>22.875000000004444</v>
      </c>
      <c r="R97" s="306">
        <f t="shared" ca="1" si="49"/>
        <v>1.2140901432184329E-2</v>
      </c>
      <c r="S97" s="307">
        <f t="shared" ca="1" si="50"/>
        <v>2.9800702506318433</v>
      </c>
      <c r="T97" s="304">
        <f t="shared" ca="1" si="30"/>
        <v>29.234489158698384</v>
      </c>
      <c r="U97" s="311">
        <f t="shared" ca="1" si="31"/>
        <v>0</v>
      </c>
      <c r="V97" s="306">
        <f t="shared" ca="1" si="32"/>
        <v>1.1458992547288847</v>
      </c>
      <c r="W97" s="304">
        <f t="shared" ca="1" si="33"/>
        <v>83.696642386212218</v>
      </c>
      <c r="Y97" s="314" t="str">
        <f t="shared" ca="1" si="51"/>
        <v/>
      </c>
      <c r="Z97" s="315" t="str">
        <f t="shared" ca="1" si="52"/>
        <v/>
      </c>
      <c r="AA97" s="316" t="str">
        <f t="shared" ca="1" si="53"/>
        <v/>
      </c>
      <c r="AC97" s="310" t="e">
        <f t="shared" ca="1" si="54"/>
        <v>#N/A</v>
      </c>
      <c r="AD97" s="323" t="e">
        <f t="shared" ca="1" si="55"/>
        <v>#N/A</v>
      </c>
      <c r="AE97" s="324">
        <f t="shared" ca="1" si="34"/>
        <v>667.26365629703207</v>
      </c>
      <c r="AG97" s="306">
        <f t="shared" ca="1" si="56"/>
        <v>-30.069502816948063</v>
      </c>
      <c r="AH97" s="304">
        <f t="shared" ca="1" si="57"/>
        <v>-20.504167670142007</v>
      </c>
    </row>
    <row r="98" spans="1:34" x14ac:dyDescent="0.2">
      <c r="A98" s="347">
        <f t="shared" ca="1" si="35"/>
        <v>0.01</v>
      </c>
      <c r="B98" s="304">
        <f t="shared" ca="1" si="36"/>
        <v>4.1399999999999801</v>
      </c>
      <c r="D98" s="306">
        <f t="shared" ca="1" si="37"/>
        <v>-4.6998596448429621</v>
      </c>
      <c r="E98" s="307">
        <f t="shared" ca="1" si="38"/>
        <v>-30.446848506772376</v>
      </c>
      <c r="F98" s="304">
        <f t="shared" ca="1" si="39"/>
        <v>30.807454693232458</v>
      </c>
      <c r="G98" s="306">
        <f t="shared" ca="1" si="40"/>
        <v>41.890803107990713</v>
      </c>
      <c r="H98" s="307">
        <f t="shared" ca="1" si="41"/>
        <v>183.84232011769893</v>
      </c>
      <c r="I98" s="304">
        <f t="shared" ca="1" si="42"/>
        <v>188.55460230737125</v>
      </c>
      <c r="J98" s="306">
        <f t="shared" ca="1" si="43"/>
        <v>138.78298644052299</v>
      </c>
      <c r="K98" s="307">
        <f t="shared" ca="1" si="44"/>
        <v>669.10360184063438</v>
      </c>
      <c r="L98" s="304">
        <f t="shared" ca="1" si="29"/>
        <v>683.34496948573531</v>
      </c>
      <c r="M98" s="306">
        <f t="shared" ca="1" si="45"/>
        <v>1.3467588239340016</v>
      </c>
      <c r="N98" s="304">
        <f t="shared" ca="1" si="46"/>
        <v>77.16359663342061</v>
      </c>
      <c r="P98" s="310">
        <f t="shared" ca="1" si="47"/>
        <v>10</v>
      </c>
      <c r="Q98" s="304">
        <f t="shared" ca="1" si="48"/>
        <v>20.625000000004487</v>
      </c>
      <c r="R98" s="306">
        <f t="shared" ca="1" si="49"/>
        <v>1.0946714406068092E-2</v>
      </c>
      <c r="S98" s="307">
        <f t="shared" ca="1" si="50"/>
        <v>2.9799607834877828</v>
      </c>
      <c r="T98" s="304">
        <f t="shared" ca="1" si="30"/>
        <v>29.233415286015152</v>
      </c>
      <c r="U98" s="311">
        <f t="shared" ca="1" si="31"/>
        <v>0</v>
      </c>
      <c r="V98" s="306">
        <f t="shared" ca="1" si="32"/>
        <v>1.1456881993487338</v>
      </c>
      <c r="W98" s="304">
        <f t="shared" ca="1" si="33"/>
        <v>83.409128568573706</v>
      </c>
      <c r="Y98" s="314" t="str">
        <f t="shared" ca="1" si="51"/>
        <v/>
      </c>
      <c r="Z98" s="315" t="str">
        <f t="shared" ca="1" si="52"/>
        <v/>
      </c>
      <c r="AA98" s="316" t="str">
        <f t="shared" ca="1" si="53"/>
        <v/>
      </c>
      <c r="AC98" s="310" t="e">
        <f t="shared" ca="1" si="54"/>
        <v>#N/A</v>
      </c>
      <c r="AD98" s="323" t="e">
        <f t="shared" ca="1" si="55"/>
        <v>#N/A</v>
      </c>
      <c r="AE98" s="324">
        <f t="shared" ca="1" si="34"/>
        <v>669.10360184063438</v>
      </c>
      <c r="AG98" s="306">
        <f t="shared" ca="1" si="56"/>
        <v>-30.730343280949132</v>
      </c>
      <c r="AH98" s="304">
        <f t="shared" ca="1" si="57"/>
        <v>-21.165259199279763</v>
      </c>
    </row>
    <row r="99" spans="1:34" x14ac:dyDescent="0.2">
      <c r="A99" s="347">
        <f t="shared" ca="1" si="35"/>
        <v>0.01</v>
      </c>
      <c r="B99" s="304">
        <f t="shared" ca="1" si="36"/>
        <v>4.1499999999999799</v>
      </c>
      <c r="D99" s="306">
        <f t="shared" ca="1" si="37"/>
        <v>-4.8487136758355369</v>
      </c>
      <c r="E99" s="307">
        <f t="shared" ca="1" si="38"/>
        <v>-31.089104376540021</v>
      </c>
      <c r="F99" s="304">
        <f t="shared" ca="1" si="39"/>
        <v>31.464939778198122</v>
      </c>
      <c r="G99" s="306">
        <f t="shared" ca="1" si="40"/>
        <v>41.84231597123236</v>
      </c>
      <c r="H99" s="307">
        <f t="shared" ca="1" si="41"/>
        <v>183.53142907393354</v>
      </c>
      <c r="I99" s="304">
        <f t="shared" ca="1" si="42"/>
        <v>188.24070990026769</v>
      </c>
      <c r="J99" s="306">
        <f t="shared" ca="1" si="43"/>
        <v>139.2016520359191</v>
      </c>
      <c r="K99" s="307">
        <f t="shared" ca="1" si="44"/>
        <v>670.9404705865926</v>
      </c>
      <c r="L99" s="304">
        <f t="shared" ca="1" si="29"/>
        <v>685.22858594813999</v>
      </c>
      <c r="M99" s="306">
        <f t="shared" ca="1" si="45"/>
        <v>1.3466430430114948</v>
      </c>
      <c r="N99" s="304">
        <f t="shared" ca="1" si="46"/>
        <v>77.156962875212841</v>
      </c>
      <c r="P99" s="310">
        <f t="shared" ca="1" si="47"/>
        <v>10</v>
      </c>
      <c r="Q99" s="304">
        <f t="shared" ca="1" si="48"/>
        <v>18.37500000000453</v>
      </c>
      <c r="R99" s="306">
        <f t="shared" ca="1" si="49"/>
        <v>9.7525273799518551E-3</v>
      </c>
      <c r="S99" s="307">
        <f t="shared" ca="1" si="50"/>
        <v>2.9798632582139835</v>
      </c>
      <c r="T99" s="304">
        <f t="shared" ca="1" si="30"/>
        <v>29.232458563079181</v>
      </c>
      <c r="U99" s="311">
        <f t="shared" ca="1" si="31"/>
        <v>0</v>
      </c>
      <c r="V99" s="306">
        <f t="shared" ca="1" si="32"/>
        <v>1.1454775343784587</v>
      </c>
      <c r="W99" s="304">
        <f t="shared" ca="1" si="33"/>
        <v>83.11636650478907</v>
      </c>
      <c r="Y99" s="314" t="str">
        <f t="shared" ca="1" si="51"/>
        <v/>
      </c>
      <c r="Z99" s="315" t="str">
        <f t="shared" ca="1" si="52"/>
        <v/>
      </c>
      <c r="AA99" s="316" t="str">
        <f t="shared" ca="1" si="53"/>
        <v/>
      </c>
      <c r="AC99" s="310" t="e">
        <f t="shared" ca="1" si="54"/>
        <v>#N/A</v>
      </c>
      <c r="AD99" s="323" t="e">
        <f t="shared" ca="1" si="55"/>
        <v>#N/A</v>
      </c>
      <c r="AE99" s="324">
        <f t="shared" ca="1" si="34"/>
        <v>670.9404705865926</v>
      </c>
      <c r="AG99" s="306">
        <f t="shared" ca="1" si="56"/>
        <v>-31.389366880781218</v>
      </c>
      <c r="AH99" s="304">
        <f t="shared" ca="1" si="57"/>
        <v>-21.824534528321998</v>
      </c>
    </row>
    <row r="100" spans="1:34" x14ac:dyDescent="0.2">
      <c r="A100" s="347">
        <f t="shared" ca="1" si="35"/>
        <v>0.01</v>
      </c>
      <c r="B100" s="304">
        <f t="shared" ca="1" si="36"/>
        <v>4.1599999999999797</v>
      </c>
      <c r="D100" s="306">
        <f t="shared" ca="1" si="37"/>
        <v>-4.9973197394031379</v>
      </c>
      <c r="E100" s="307">
        <f t="shared" ca="1" si="38"/>
        <v>-31.729561860357087</v>
      </c>
      <c r="F100" s="304">
        <f t="shared" ca="1" si="39"/>
        <v>32.120683374238091</v>
      </c>
      <c r="G100" s="306">
        <f t="shared" ca="1" si="40"/>
        <v>41.792342773838328</v>
      </c>
      <c r="H100" s="307">
        <f t="shared" ca="1" si="41"/>
        <v>183.21413345532997</v>
      </c>
      <c r="I100" s="304">
        <f t="shared" ca="1" si="42"/>
        <v>187.92024534975857</v>
      </c>
      <c r="J100" s="306">
        <f t="shared" ca="1" si="43"/>
        <v>139.61982532964444</v>
      </c>
      <c r="K100" s="307">
        <f t="shared" ca="1" si="44"/>
        <v>672.77419839923891</v>
      </c>
      <c r="L100" s="304">
        <f t="shared" ca="1" si="29"/>
        <v>687.10902894432911</v>
      </c>
      <c r="M100" s="306">
        <f t="shared" ca="1" si="45"/>
        <v>1.3465270057154053</v>
      </c>
      <c r="N100" s="304">
        <f t="shared" ca="1" si="46"/>
        <v>77.150314427880801</v>
      </c>
      <c r="P100" s="310">
        <f t="shared" ca="1" si="47"/>
        <v>10</v>
      </c>
      <c r="Q100" s="304">
        <f t="shared" ca="1" si="48"/>
        <v>16.125000000004576</v>
      </c>
      <c r="R100" s="306">
        <f t="shared" ca="1" si="49"/>
        <v>8.5583403538356199E-3</v>
      </c>
      <c r="S100" s="307">
        <f t="shared" ca="1" si="50"/>
        <v>2.9797776748104452</v>
      </c>
      <c r="T100" s="304">
        <f t="shared" ca="1" si="30"/>
        <v>29.231618989890467</v>
      </c>
      <c r="U100" s="311">
        <f t="shared" ca="1" si="31"/>
        <v>0</v>
      </c>
      <c r="V100" s="306">
        <f t="shared" ca="1" si="32"/>
        <v>1.1452672669734978</v>
      </c>
      <c r="W100" s="304">
        <f t="shared" ca="1" si="33"/>
        <v>82.818404447410884</v>
      </c>
      <c r="Y100" s="314" t="str">
        <f t="shared" ca="1" si="51"/>
        <v/>
      </c>
      <c r="Z100" s="315" t="str">
        <f t="shared" ca="1" si="52"/>
        <v/>
      </c>
      <c r="AA100" s="316" t="str">
        <f t="shared" ca="1" si="53"/>
        <v/>
      </c>
      <c r="AC100" s="310" t="e">
        <f t="shared" ca="1" si="54"/>
        <v>#N/A</v>
      </c>
      <c r="AD100" s="323" t="e">
        <f t="shared" ca="1" si="55"/>
        <v>#N/A</v>
      </c>
      <c r="AE100" s="324">
        <f t="shared" ca="1" si="34"/>
        <v>672.77419839923891</v>
      </c>
      <c r="AG100" s="306">
        <f t="shared" ca="1" si="56"/>
        <v>-32.046581564968463</v>
      </c>
      <c r="AH100" s="304">
        <f t="shared" ca="1" si="57"/>
        <v>-22.482001617468345</v>
      </c>
    </row>
    <row r="101" spans="1:34" x14ac:dyDescent="0.2">
      <c r="A101" s="347">
        <f t="shared" ca="1" si="35"/>
        <v>0.01</v>
      </c>
      <c r="B101" s="304">
        <f t="shared" ca="1" si="36"/>
        <v>4.1699999999999795</v>
      </c>
      <c r="D101" s="306">
        <f t="shared" ca="1" si="37"/>
        <v>-5.1083660290471471</v>
      </c>
      <c r="E101" s="307">
        <f t="shared" ca="1" si="38"/>
        <v>-32.204649193258412</v>
      </c>
      <c r="F101" s="304">
        <f t="shared" ca="1" si="39"/>
        <v>32.607281903703083</v>
      </c>
      <c r="G101" s="306">
        <f t="shared" ca="1" si="40"/>
        <v>41.741259113547855</v>
      </c>
      <c r="H101" s="307">
        <f t="shared" ca="1" si="41"/>
        <v>182.89208696339739</v>
      </c>
      <c r="I101" s="304">
        <f t="shared" ca="1" si="42"/>
        <v>187.59490447827002</v>
      </c>
      <c r="J101" s="306">
        <f t="shared" ca="1" si="43"/>
        <v>140.03749333908138</v>
      </c>
      <c r="K101" s="307">
        <f t="shared" ca="1" si="44"/>
        <v>674.6047295013326</v>
      </c>
      <c r="L101" s="304">
        <f t="shared" ca="1" si="29"/>
        <v>688.98624123146271</v>
      </c>
      <c r="M101" s="306">
        <f t="shared" ca="1" si="45"/>
        <v>1.3464107080177419</v>
      </c>
      <c r="N101" s="304">
        <f t="shared" ca="1" si="46"/>
        <v>77.143651060637595</v>
      </c>
      <c r="P101" s="310">
        <f t="shared" ca="1" si="47"/>
        <v>11</v>
      </c>
      <c r="Q101" s="304">
        <f t="shared" ca="1" si="48"/>
        <v>14.375000000002567</v>
      </c>
      <c r="R101" s="306">
        <f t="shared" ca="1" si="49"/>
        <v>7.6295282224107972E-3</v>
      </c>
      <c r="S101" s="307">
        <f t="shared" ca="1" si="50"/>
        <v>2.9797013795282212</v>
      </c>
      <c r="T101" s="304">
        <f t="shared" ca="1" si="30"/>
        <v>29.230870533171853</v>
      </c>
      <c r="U101" s="311">
        <f t="shared" ca="1" si="31"/>
        <v>0</v>
      </c>
      <c r="V101" s="306">
        <f t="shared" ca="1" si="32"/>
        <v>1.1450574033263208</v>
      </c>
      <c r="W101" s="304">
        <f t="shared" ca="1" si="33"/>
        <v>82.516766980040529</v>
      </c>
      <c r="Y101" s="314" t="str">
        <f t="shared" ca="1" si="51"/>
        <v/>
      </c>
      <c r="Z101" s="315" t="str">
        <f t="shared" ca="1" si="52"/>
        <v/>
      </c>
      <c r="AA101" s="316" t="str">
        <f t="shared" ca="1" si="53"/>
        <v/>
      </c>
      <c r="AC101" s="310" t="e">
        <f t="shared" ca="1" si="54"/>
        <v>#N/A</v>
      </c>
      <c r="AD101" s="323" t="e">
        <f t="shared" ca="1" si="55"/>
        <v>#N/A</v>
      </c>
      <c r="AE101" s="324">
        <f t="shared" ca="1" si="34"/>
        <v>674.6047295013326</v>
      </c>
      <c r="AG101" s="306">
        <f t="shared" ca="1" si="56"/>
        <v>-32.534214011357747</v>
      </c>
      <c r="AH101" s="304">
        <f t="shared" ca="1" si="57"/>
        <v>-22.969887156358272</v>
      </c>
    </row>
    <row r="102" spans="1:34" x14ac:dyDescent="0.2">
      <c r="A102" s="347">
        <f t="shared" ca="1" si="35"/>
        <v>0.01</v>
      </c>
      <c r="B102" s="304">
        <f t="shared" ca="1" si="36"/>
        <v>4.1799999999999793</v>
      </c>
      <c r="D102" s="306">
        <f t="shared" ca="1" si="37"/>
        <v>-5.1819099928322787</v>
      </c>
      <c r="E102" s="307">
        <f t="shared" ca="1" si="38"/>
        <v>-32.514881289457229</v>
      </c>
      <c r="F102" s="304">
        <f t="shared" ca="1" si="39"/>
        <v>32.925213688620317</v>
      </c>
      <c r="G102" s="306">
        <f t="shared" ca="1" si="40"/>
        <v>41.689440013619532</v>
      </c>
      <c r="H102" s="307">
        <f t="shared" ca="1" si="41"/>
        <v>182.56693815050281</v>
      </c>
      <c r="I102" s="304">
        <f t="shared" ca="1" si="42"/>
        <v>187.26637796010982</v>
      </c>
      <c r="J102" s="306">
        <f t="shared" ca="1" si="43"/>
        <v>140.45464683471721</v>
      </c>
      <c r="K102" s="307">
        <f t="shared" ca="1" si="44"/>
        <v>676.43202462690215</v>
      </c>
      <c r="L102" s="304">
        <f t="shared" ca="1" si="29"/>
        <v>690.86018249593383</v>
      </c>
      <c r="M102" s="306">
        <f t="shared" ca="1" si="45"/>
        <v>1.3462941468994749</v>
      </c>
      <c r="N102" s="304">
        <f t="shared" ca="1" si="46"/>
        <v>77.136972600505572</v>
      </c>
      <c r="P102" s="310">
        <f t="shared" ca="1" si="47"/>
        <v>11</v>
      </c>
      <c r="Q102" s="304">
        <f t="shared" ca="1" si="48"/>
        <v>13.125000000002595</v>
      </c>
      <c r="R102" s="306">
        <f t="shared" ca="1" si="49"/>
        <v>6.9660909856795574E-3</v>
      </c>
      <c r="S102" s="307">
        <f t="shared" ca="1" si="50"/>
        <v>2.9796317186183643</v>
      </c>
      <c r="T102" s="304">
        <f t="shared" ca="1" si="30"/>
        <v>29.230187159646157</v>
      </c>
      <c r="U102" s="311">
        <f t="shared" ca="1" si="31"/>
        <v>0</v>
      </c>
      <c r="V102" s="306">
        <f t="shared" ca="1" si="32"/>
        <v>1.1448479477328579</v>
      </c>
      <c r="W102" s="304">
        <f t="shared" ca="1" si="33"/>
        <v>82.212962977313083</v>
      </c>
      <c r="Y102" s="314" t="str">
        <f t="shared" ca="1" si="51"/>
        <v/>
      </c>
      <c r="Z102" s="315" t="str">
        <f t="shared" ca="1" si="52"/>
        <v/>
      </c>
      <c r="AA102" s="316" t="str">
        <f t="shared" ca="1" si="53"/>
        <v/>
      </c>
      <c r="AC102" s="310" t="e">
        <f t="shared" ca="1" si="54"/>
        <v>#N/A</v>
      </c>
      <c r="AD102" s="323" t="e">
        <f t="shared" ca="1" si="55"/>
        <v>#N/A</v>
      </c>
      <c r="AE102" s="324">
        <f t="shared" ca="1" si="34"/>
        <v>676.43202462690215</v>
      </c>
      <c r="AG102" s="306">
        <f t="shared" ca="1" si="56"/>
        <v>-32.852779030699843</v>
      </c>
      <c r="AH102" s="304">
        <f t="shared" ca="1" si="57"/>
        <v>-23.288705965385024</v>
      </c>
    </row>
    <row r="103" spans="1:34" x14ac:dyDescent="0.2">
      <c r="A103" s="347">
        <f t="shared" ca="1" si="35"/>
        <v>0.01</v>
      </c>
      <c r="B103" s="304">
        <f t="shared" ca="1" si="36"/>
        <v>4.1899999999999791</v>
      </c>
      <c r="D103" s="306">
        <f t="shared" ca="1" si="37"/>
        <v>-5.2553619880643385</v>
      </c>
      <c r="E103" s="307">
        <f t="shared" ca="1" si="38"/>
        <v>-32.82434959836354</v>
      </c>
      <c r="F103" s="304">
        <f t="shared" ca="1" si="39"/>
        <v>33.242393959839603</v>
      </c>
      <c r="G103" s="306">
        <f t="shared" ca="1" si="40"/>
        <v>41.636886393738891</v>
      </c>
      <c r="H103" s="307">
        <f t="shared" ca="1" si="41"/>
        <v>182.23869465451918</v>
      </c>
      <c r="I103" s="304">
        <f t="shared" ca="1" si="42"/>
        <v>186.93467345024087</v>
      </c>
      <c r="J103" s="306">
        <f t="shared" ca="1" si="43"/>
        <v>140.87127846675401</v>
      </c>
      <c r="K103" s="307">
        <f t="shared" ca="1" si="44"/>
        <v>678.25605279092724</v>
      </c>
      <c r="L103" s="304">
        <f t="shared" ca="1" si="29"/>
        <v>692.73082091414619</v>
      </c>
      <c r="M103" s="306">
        <f t="shared" ca="1" si="45"/>
        <v>1.3461773193154414</v>
      </c>
      <c r="N103" s="304">
        <f t="shared" ca="1" si="46"/>
        <v>77.130278873009743</v>
      </c>
      <c r="P103" s="310">
        <f t="shared" ca="1" si="47"/>
        <v>11</v>
      </c>
      <c r="Q103" s="304">
        <f t="shared" ca="1" si="48"/>
        <v>11.875000000002622</v>
      </c>
      <c r="R103" s="306">
        <f t="shared" ca="1" si="49"/>
        <v>6.3026537489483158E-3</v>
      </c>
      <c r="S103" s="307">
        <f t="shared" ca="1" si="50"/>
        <v>2.9795686920808748</v>
      </c>
      <c r="T103" s="304">
        <f t="shared" ca="1" si="30"/>
        <v>29.229568869313383</v>
      </c>
      <c r="U103" s="311">
        <f t="shared" ca="1" si="31"/>
        <v>0</v>
      </c>
      <c r="V103" s="306">
        <f t="shared" ca="1" si="32"/>
        <v>1.1446389035373472</v>
      </c>
      <c r="W103" s="304">
        <f t="shared" ca="1" si="33"/>
        <v>81.907015059248778</v>
      </c>
      <c r="Y103" s="314" t="str">
        <f t="shared" ca="1" si="51"/>
        <v/>
      </c>
      <c r="Z103" s="315" t="str">
        <f t="shared" ca="1" si="52"/>
        <v/>
      </c>
      <c r="AA103" s="316" t="str">
        <f t="shared" ca="1" si="53"/>
        <v/>
      </c>
      <c r="AC103" s="310" t="e">
        <f t="shared" ca="1" si="54"/>
        <v>#N/A</v>
      </c>
      <c r="AD103" s="323" t="e">
        <f t="shared" ca="1" si="55"/>
        <v>#N/A</v>
      </c>
      <c r="AE103" s="324">
        <f t="shared" ca="1" si="34"/>
        <v>678.25605279092724</v>
      </c>
      <c r="AG103" s="306">
        <f t="shared" ca="1" si="56"/>
        <v>-33.170578557510005</v>
      </c>
      <c r="AH103" s="304">
        <f t="shared" ca="1" si="57"/>
        <v>-23.606759986522665</v>
      </c>
    </row>
    <row r="104" spans="1:34" x14ac:dyDescent="0.2">
      <c r="A104" s="347">
        <f t="shared" ca="1" si="35"/>
        <v>0.01</v>
      </c>
      <c r="B104" s="304">
        <f t="shared" ca="1" si="36"/>
        <v>4.1999999999999789</v>
      </c>
      <c r="D104" s="306">
        <f t="shared" ca="1" si="37"/>
        <v>-5.3287232736182748</v>
      </c>
      <c r="E104" s="307">
        <f t="shared" ca="1" si="38"/>
        <v>-33.133059375193312</v>
      </c>
      <c r="F104" s="304">
        <f t="shared" ca="1" si="39"/>
        <v>33.558827680461164</v>
      </c>
      <c r="G104" s="306">
        <f t="shared" ca="1" si="40"/>
        <v>41.583599161002709</v>
      </c>
      <c r="H104" s="307">
        <f t="shared" ca="1" si="41"/>
        <v>181.90736406076724</v>
      </c>
      <c r="I104" s="304">
        <f t="shared" ca="1" si="42"/>
        <v>186.59979854951465</v>
      </c>
      <c r="J104" s="306">
        <f t="shared" ca="1" si="43"/>
        <v>141.2873808945277</v>
      </c>
      <c r="K104" s="307">
        <f t="shared" ca="1" si="44"/>
        <v>680.07678308450363</v>
      </c>
      <c r="L104" s="304">
        <f t="shared" ca="1" si="29"/>
        <v>694.59812473876025</v>
      </c>
      <c r="M104" s="306">
        <f t="shared" ca="1" si="45"/>
        <v>1.3460602221938447</v>
      </c>
      <c r="N104" s="304">
        <f t="shared" ca="1" si="46"/>
        <v>77.123569702149126</v>
      </c>
      <c r="P104" s="310">
        <f t="shared" ca="1" si="47"/>
        <v>11</v>
      </c>
      <c r="Q104" s="304">
        <f t="shared" ca="1" si="48"/>
        <v>10.62500000000265</v>
      </c>
      <c r="R104" s="306">
        <f t="shared" ca="1" si="49"/>
        <v>5.6392165122170759E-3</v>
      </c>
      <c r="S104" s="307">
        <f t="shared" ca="1" si="50"/>
        <v>2.9795122999157528</v>
      </c>
      <c r="T104" s="304">
        <f t="shared" ca="1" si="30"/>
        <v>29.229015662173538</v>
      </c>
      <c r="U104" s="311">
        <f t="shared" ca="1" si="31"/>
        <v>0</v>
      </c>
      <c r="V104" s="306">
        <f t="shared" ca="1" si="32"/>
        <v>1.1444302740732613</v>
      </c>
      <c r="W104" s="304">
        <f t="shared" ca="1" si="33"/>
        <v>81.598945868440097</v>
      </c>
      <c r="Y104" s="314" t="str">
        <f t="shared" ca="1" si="51"/>
        <v/>
      </c>
      <c r="Z104" s="315" t="str">
        <f t="shared" ca="1" si="52"/>
        <v/>
      </c>
      <c r="AA104" s="316" t="str">
        <f t="shared" ca="1" si="53"/>
        <v/>
      </c>
      <c r="AC104" s="310" t="e">
        <f t="shared" ca="1" si="54"/>
        <v>#N/A</v>
      </c>
      <c r="AD104" s="323" t="e">
        <f t="shared" ca="1" si="55"/>
        <v>#N/A</v>
      </c>
      <c r="AE104" s="324">
        <f t="shared" ca="1" si="34"/>
        <v>680.07678308450363</v>
      </c>
      <c r="AG104" s="306">
        <f t="shared" ca="1" si="56"/>
        <v>-33.487618002978664</v>
      </c>
      <c r="AH104" s="304">
        <f t="shared" ca="1" si="57"/>
        <v>-23.924054638492905</v>
      </c>
    </row>
    <row r="105" spans="1:34" x14ac:dyDescent="0.2">
      <c r="A105" s="347">
        <f t="shared" ca="1" si="35"/>
        <v>0.01</v>
      </c>
      <c r="B105" s="304">
        <f t="shared" ca="1" si="36"/>
        <v>4.2099999999999786</v>
      </c>
      <c r="D105" s="306">
        <f t="shared" ca="1" si="37"/>
        <v>-5.4019951180754129</v>
      </c>
      <c r="E105" s="307">
        <f t="shared" ca="1" si="38"/>
        <v>-33.441015891471395</v>
      </c>
      <c r="F105" s="304">
        <f t="shared" ca="1" si="39"/>
        <v>33.874519850609737</v>
      </c>
      <c r="G105" s="306">
        <f t="shared" ca="1" si="40"/>
        <v>41.529579209821954</v>
      </c>
      <c r="H105" s="307">
        <f t="shared" ca="1" si="41"/>
        <v>181.57295390185251</v>
      </c>
      <c r="I105" s="304">
        <f t="shared" ca="1" si="42"/>
        <v>186.26176080449025</v>
      </c>
      <c r="J105" s="306">
        <f t="shared" ca="1" si="43"/>
        <v>141.70294678638183</v>
      </c>
      <c r="K105" s="307">
        <f t="shared" ca="1" si="44"/>
        <v>681.89418467431676</v>
      </c>
      <c r="L105" s="304">
        <f t="shared" ca="1" si="29"/>
        <v>696.46206229815232</v>
      </c>
      <c r="M105" s="306">
        <f t="shared" ca="1" si="45"/>
        <v>1.3459428524357466</v>
      </c>
      <c r="N105" s="304">
        <f t="shared" ca="1" si="46"/>
        <v>77.116844910367632</v>
      </c>
      <c r="P105" s="310">
        <f t="shared" ca="1" si="47"/>
        <v>12</v>
      </c>
      <c r="Q105" s="304">
        <f t="shared" ca="1" si="48"/>
        <v>9.3750000000026787</v>
      </c>
      <c r="R105" s="306">
        <f t="shared" ca="1" si="49"/>
        <v>4.975779275485836E-3</v>
      </c>
      <c r="S105" s="307">
        <f t="shared" ca="1" si="50"/>
        <v>2.9794625421229979</v>
      </c>
      <c r="T105" s="304">
        <f t="shared" ca="1" si="30"/>
        <v>29.228527538226611</v>
      </c>
      <c r="U105" s="311">
        <f t="shared" ca="1" si="31"/>
        <v>0</v>
      </c>
      <c r="V105" s="306">
        <f t="shared" ca="1" si="32"/>
        <v>1.1442220626633872</v>
      </c>
      <c r="W105" s="304">
        <f t="shared" ca="1" si="33"/>
        <v>81.28877806917113</v>
      </c>
      <c r="Y105" s="314" t="str">
        <f t="shared" ca="1" si="51"/>
        <v/>
      </c>
      <c r="Z105" s="315" t="str">
        <f t="shared" ca="1" si="52"/>
        <v/>
      </c>
      <c r="AA105" s="316" t="str">
        <f t="shared" ca="1" si="53"/>
        <v/>
      </c>
      <c r="AC105" s="310" t="e">
        <f t="shared" ca="1" si="54"/>
        <v>#N/A</v>
      </c>
      <c r="AD105" s="323" t="e">
        <f t="shared" ca="1" si="55"/>
        <v>#N/A</v>
      </c>
      <c r="AE105" s="324">
        <f t="shared" ca="1" si="34"/>
        <v>681.89418467431676</v>
      </c>
      <c r="AG105" s="306">
        <f t="shared" ca="1" si="56"/>
        <v>-33.803902796378111</v>
      </c>
      <c r="AH105" s="304">
        <f t="shared" ca="1" si="57"/>
        <v>-24.24059535817312</v>
      </c>
    </row>
    <row r="106" spans="1:34" x14ac:dyDescent="0.2">
      <c r="A106" s="347">
        <f t="shared" ca="1" si="35"/>
        <v>0.01</v>
      </c>
      <c r="B106" s="304">
        <f t="shared" ca="1" si="36"/>
        <v>4.2199999999999784</v>
      </c>
      <c r="D106" s="306">
        <f t="shared" ca="1" si="37"/>
        <v>-5.4751787996854269</v>
      </c>
      <c r="E106" s="307">
        <f t="shared" ca="1" si="38"/>
        <v>-33.74822443461121</v>
      </c>
      <c r="F106" s="304">
        <f t="shared" ca="1" si="39"/>
        <v>34.189475506029829</v>
      </c>
      <c r="G106" s="306">
        <f t="shared" ca="1" si="40"/>
        <v>41.474827421825097</v>
      </c>
      <c r="H106" s="307">
        <f t="shared" ca="1" si="41"/>
        <v>181.23547165750639</v>
      </c>
      <c r="I106" s="304">
        <f t="shared" ca="1" si="42"/>
        <v>185.92056770725765</v>
      </c>
      <c r="J106" s="306">
        <f t="shared" ca="1" si="43"/>
        <v>142.11796881954007</v>
      </c>
      <c r="K106" s="307">
        <f t="shared" ca="1" si="44"/>
        <v>683.70822680211359</v>
      </c>
      <c r="L106" s="304">
        <f t="shared" ca="1" si="29"/>
        <v>698.32260199586995</v>
      </c>
      <c r="M106" s="306">
        <f t="shared" ca="1" si="45"/>
        <v>1.3458252069145507</v>
      </c>
      <c r="N106" s="304">
        <f t="shared" ca="1" si="46"/>
        <v>77.110104318524492</v>
      </c>
      <c r="P106" s="310">
        <f t="shared" ca="1" si="47"/>
        <v>12</v>
      </c>
      <c r="Q106" s="304">
        <f t="shared" ca="1" si="48"/>
        <v>8.1250000000027072</v>
      </c>
      <c r="R106" s="306">
        <f t="shared" ca="1" si="49"/>
        <v>4.3123420387545953E-3</v>
      </c>
      <c r="S106" s="307">
        <f t="shared" ca="1" si="50"/>
        <v>2.9794194187026104</v>
      </c>
      <c r="T106" s="304">
        <f t="shared" ca="1" si="30"/>
        <v>29.228104497472611</v>
      </c>
      <c r="U106" s="311">
        <f t="shared" ca="1" si="31"/>
        <v>0</v>
      </c>
      <c r="V106" s="306">
        <f t="shared" ca="1" si="32"/>
        <v>1.1440142726199072</v>
      </c>
      <c r="W106" s="304">
        <f t="shared" ca="1" si="33"/>
        <v>80.976534346560172</v>
      </c>
      <c r="Y106" s="314" t="str">
        <f t="shared" ca="1" si="51"/>
        <v/>
      </c>
      <c r="Z106" s="315" t="str">
        <f t="shared" ca="1" si="52"/>
        <v/>
      </c>
      <c r="AA106" s="316" t="str">
        <f t="shared" ca="1" si="53"/>
        <v/>
      </c>
      <c r="AC106" s="310" t="e">
        <f t="shared" ca="1" si="54"/>
        <v>#N/A</v>
      </c>
      <c r="AD106" s="323" t="e">
        <f t="shared" ca="1" si="55"/>
        <v>#N/A</v>
      </c>
      <c r="AE106" s="324">
        <f t="shared" ca="1" si="34"/>
        <v>683.70822680211359</v>
      </c>
      <c r="AG106" s="306">
        <f t="shared" ca="1" si="56"/>
        <v>-34.119438384646173</v>
      </c>
      <c r="AH106" s="304">
        <f t="shared" ca="1" si="57"/>
        <v>-24.556387600181385</v>
      </c>
    </row>
    <row r="107" spans="1:34" x14ac:dyDescent="0.2">
      <c r="A107" s="347">
        <f t="shared" ca="1" si="35"/>
        <v>0.01</v>
      </c>
      <c r="B107" s="304">
        <f t="shared" ca="1" si="36"/>
        <v>4.2299999999999782</v>
      </c>
      <c r="D107" s="306">
        <f t="shared" ca="1" si="37"/>
        <v>-5.54827560633088</v>
      </c>
      <c r="E107" s="307">
        <f t="shared" ca="1" si="38"/>
        <v>-34.054690307501353</v>
      </c>
      <c r="F107" s="304">
        <f t="shared" ca="1" si="39"/>
        <v>34.503699716749693</v>
      </c>
      <c r="G107" s="306">
        <f t="shared" ca="1" si="40"/>
        <v>41.419344665761791</v>
      </c>
      <c r="H107" s="307">
        <f t="shared" ca="1" si="41"/>
        <v>180.89492475443137</v>
      </c>
      <c r="I107" s="304">
        <f t="shared" ca="1" si="42"/>
        <v>185.57622669526546</v>
      </c>
      <c r="J107" s="306">
        <f t="shared" ca="1" si="43"/>
        <v>142.53243967997801</v>
      </c>
      <c r="K107" s="307">
        <f t="shared" ca="1" si="44"/>
        <v>685.51887878417324</v>
      </c>
      <c r="L107" s="304">
        <f t="shared" ca="1" si="29"/>
        <v>700.17971231008733</v>
      </c>
      <c r="M107" s="306">
        <f t="shared" ca="1" si="45"/>
        <v>1.345707282475475</v>
      </c>
      <c r="N107" s="304">
        <f t="shared" ca="1" si="46"/>
        <v>77.103347745864014</v>
      </c>
      <c r="P107" s="310">
        <f t="shared" ca="1" si="47"/>
        <v>12</v>
      </c>
      <c r="Q107" s="304">
        <f t="shared" ca="1" si="48"/>
        <v>6.8750000000027338</v>
      </c>
      <c r="R107" s="306">
        <f t="shared" ca="1" si="49"/>
        <v>3.6489048020233545E-3</v>
      </c>
      <c r="S107" s="307">
        <f t="shared" ca="1" si="50"/>
        <v>2.97938292965459</v>
      </c>
      <c r="T107" s="304">
        <f t="shared" ca="1" si="30"/>
        <v>29.227746539911529</v>
      </c>
      <c r="U107" s="311">
        <f t="shared" ca="1" si="31"/>
        <v>0</v>
      </c>
      <c r="V107" s="306">
        <f t="shared" ca="1" si="32"/>
        <v>1.1438069072444781</v>
      </c>
      <c r="W107" s="304">
        <f t="shared" ca="1" si="33"/>
        <v>80.662237405724994</v>
      </c>
      <c r="Y107" s="314" t="str">
        <f t="shared" ca="1" si="51"/>
        <v/>
      </c>
      <c r="Z107" s="315" t="str">
        <f t="shared" ca="1" si="52"/>
        <v/>
      </c>
      <c r="AA107" s="316" t="str">
        <f t="shared" ca="1" si="53"/>
        <v/>
      </c>
      <c r="AC107" s="310" t="e">
        <f t="shared" ca="1" si="54"/>
        <v>#N/A</v>
      </c>
      <c r="AD107" s="323" t="e">
        <f t="shared" ca="1" si="55"/>
        <v>#N/A</v>
      </c>
      <c r="AE107" s="324">
        <f t="shared" ca="1" si="34"/>
        <v>685.51887878417324</v>
      </c>
      <c r="AG107" s="306">
        <f t="shared" ca="1" si="56"/>
        <v>-34.434230231977196</v>
      </c>
      <c r="AH107" s="304">
        <f t="shared" ca="1" si="57"/>
        <v>-24.871436836468781</v>
      </c>
    </row>
    <row r="108" spans="1:34" x14ac:dyDescent="0.2">
      <c r="A108" s="347">
        <f t="shared" ca="1" si="35"/>
        <v>0.01</v>
      </c>
      <c r="B108" s="304">
        <f t="shared" ca="1" si="36"/>
        <v>4.239999999999978</v>
      </c>
      <c r="D108" s="306">
        <f t="shared" ca="1" si="37"/>
        <v>-5.6212868354943071</v>
      </c>
      <c r="E108" s="307">
        <f t="shared" ca="1" si="38"/>
        <v>-34.36041882809846</v>
      </c>
      <c r="F108" s="304">
        <f t="shared" ca="1" si="39"/>
        <v>34.817197585808721</v>
      </c>
      <c r="G108" s="306">
        <f t="shared" ca="1" si="40"/>
        <v>41.363131797406851</v>
      </c>
      <c r="H108" s="307">
        <f t="shared" ca="1" si="41"/>
        <v>180.55132056615039</v>
      </c>
      <c r="I108" s="304">
        <f t="shared" ca="1" si="42"/>
        <v>185.22874515115211</v>
      </c>
      <c r="J108" s="306">
        <f t="shared" ca="1" si="43"/>
        <v>142.94635206229387</v>
      </c>
      <c r="K108" s="307">
        <f t="shared" ca="1" si="44"/>
        <v>687.32611001077612</v>
      </c>
      <c r="L108" s="304">
        <f t="shared" ca="1" si="29"/>
        <v>702.03336179305813</v>
      </c>
      <c r="M108" s="306">
        <f t="shared" ca="1" si="45"/>
        <v>1.3455890759350189</v>
      </c>
      <c r="N108" s="304">
        <f t="shared" ca="1" si="46"/>
        <v>77.096575009985031</v>
      </c>
      <c r="P108" s="310">
        <f t="shared" ca="1" si="47"/>
        <v>12</v>
      </c>
      <c r="Q108" s="304">
        <f t="shared" ca="1" si="48"/>
        <v>5.6250000000027613</v>
      </c>
      <c r="R108" s="306">
        <f t="shared" ca="1" si="49"/>
        <v>2.9854675652921138E-3</v>
      </c>
      <c r="S108" s="307">
        <f t="shared" ca="1" si="50"/>
        <v>2.979353074978937</v>
      </c>
      <c r="T108" s="304">
        <f t="shared" ca="1" si="30"/>
        <v>29.227453665543372</v>
      </c>
      <c r="U108" s="311">
        <f t="shared" ca="1" si="31"/>
        <v>0</v>
      </c>
      <c r="V108" s="306">
        <f t="shared" ca="1" si="32"/>
        <v>1.1435999698283132</v>
      </c>
      <c r="W108" s="304">
        <f t="shared" ca="1" si="33"/>
        <v>80.345909970970226</v>
      </c>
      <c r="Y108" s="314" t="str">
        <f t="shared" ca="1" si="51"/>
        <v/>
      </c>
      <c r="Z108" s="315" t="str">
        <f t="shared" ca="1" si="52"/>
        <v/>
      </c>
      <c r="AA108" s="316" t="str">
        <f t="shared" ca="1" si="53"/>
        <v/>
      </c>
      <c r="AC108" s="310" t="e">
        <f t="shared" ca="1" si="54"/>
        <v>#N/A</v>
      </c>
      <c r="AD108" s="323" t="e">
        <f t="shared" ca="1" si="55"/>
        <v>#N/A</v>
      </c>
      <c r="AE108" s="324">
        <f t="shared" ca="1" si="34"/>
        <v>687.32611001077612</v>
      </c>
      <c r="AG108" s="306">
        <f t="shared" ca="1" si="56"/>
        <v>-34.748283819419761</v>
      </c>
      <c r="AH108" s="304">
        <f t="shared" ca="1" si="57"/>
        <v>-25.185748555918543</v>
      </c>
    </row>
    <row r="109" spans="1:34" x14ac:dyDescent="0.2">
      <c r="A109" s="347">
        <f t="shared" ca="1" si="35"/>
        <v>0.01</v>
      </c>
      <c r="B109" s="304">
        <f t="shared" ca="1" si="36"/>
        <v>4.2499999999999778</v>
      </c>
      <c r="D109" s="306">
        <f t="shared" ca="1" si="37"/>
        <v>-5.6942137942278048</v>
      </c>
      <c r="E109" s="307">
        <f t="shared" ca="1" si="38"/>
        <v>-34.665415329026736</v>
      </c>
      <c r="F109" s="304">
        <f t="shared" ca="1" si="39"/>
        <v>35.129974248044874</v>
      </c>
      <c r="G109" s="306">
        <f t="shared" ca="1" si="40"/>
        <v>41.306189659464572</v>
      </c>
      <c r="H109" s="307">
        <f t="shared" ca="1" si="41"/>
        <v>180.20466641286012</v>
      </c>
      <c r="I109" s="304">
        <f t="shared" ca="1" si="42"/>
        <v>184.87813040258129</v>
      </c>
      <c r="J109" s="306">
        <f t="shared" ca="1" si="43"/>
        <v>143.35969866957822</v>
      </c>
      <c r="K109" s="307">
        <f t="shared" ca="1" si="44"/>
        <v>689.12988994567115</v>
      </c>
      <c r="L109" s="304">
        <f t="shared" ca="1" si="29"/>
        <v>703.88351907056688</v>
      </c>
      <c r="M109" s="306">
        <f t="shared" ca="1" si="45"/>
        <v>1.3454705840804171</v>
      </c>
      <c r="N109" s="304">
        <f t="shared" ca="1" si="46"/>
        <v>77.089785926809668</v>
      </c>
      <c r="P109" s="310">
        <f t="shared" ca="1" si="47"/>
        <v>12</v>
      </c>
      <c r="Q109" s="304">
        <f t="shared" ca="1" si="48"/>
        <v>4.3750000000027898</v>
      </c>
      <c r="R109" s="306">
        <f t="shared" ca="1" si="49"/>
        <v>2.3220303285608739E-3</v>
      </c>
      <c r="S109" s="307">
        <f t="shared" ca="1" si="50"/>
        <v>2.9793298546756515</v>
      </c>
      <c r="T109" s="304">
        <f t="shared" ca="1" si="30"/>
        <v>29.227225874368141</v>
      </c>
      <c r="U109" s="311">
        <f t="shared" ca="1" si="31"/>
        <v>0</v>
      </c>
      <c r="V109" s="306">
        <f t="shared" ca="1" si="32"/>
        <v>1.1433934636522636</v>
      </c>
      <c r="W109" s="304">
        <f t="shared" ca="1" si="33"/>
        <v>80.027574784997185</v>
      </c>
      <c r="Y109" s="314" t="str">
        <f t="shared" ca="1" si="51"/>
        <v/>
      </c>
      <c r="Z109" s="315" t="str">
        <f t="shared" ca="1" si="52"/>
        <v/>
      </c>
      <c r="AA109" s="316" t="str">
        <f t="shared" ca="1" si="53"/>
        <v/>
      </c>
      <c r="AC109" s="310" t="e">
        <f t="shared" ca="1" si="54"/>
        <v>#N/A</v>
      </c>
      <c r="AD109" s="323" t="e">
        <f t="shared" ca="1" si="55"/>
        <v>#N/A</v>
      </c>
      <c r="AE109" s="324">
        <f t="shared" ca="1" si="34"/>
        <v>689.12988994567115</v>
      </c>
      <c r="AG109" s="306">
        <f t="shared" ca="1" si="56"/>
        <v>-35.061604644481463</v>
      </c>
      <c r="AH109" s="304">
        <f t="shared" ca="1" si="57"/>
        <v>-25.499328263952201</v>
      </c>
    </row>
    <row r="110" spans="1:34" x14ac:dyDescent="0.2">
      <c r="A110" s="347">
        <f t="shared" ca="1" si="35"/>
        <v>0.01</v>
      </c>
      <c r="B110" s="304">
        <f t="shared" ca="1" si="36"/>
        <v>4.2599999999999776</v>
      </c>
      <c r="D110" s="306">
        <f t="shared" ca="1" si="37"/>
        <v>-5.7670577991252365</v>
      </c>
      <c r="E110" s="307">
        <f t="shared" ca="1" si="38"/>
        <v>-34.969685157183733</v>
      </c>
      <c r="F110" s="304">
        <f t="shared" ca="1" si="39"/>
        <v>35.442034868937867</v>
      </c>
      <c r="G110" s="306">
        <f t="shared" ca="1" si="40"/>
        <v>41.248519081473319</v>
      </c>
      <c r="H110" s="307">
        <f t="shared" ca="1" si="41"/>
        <v>179.85496956128827</v>
      </c>
      <c r="I110" s="304">
        <f t="shared" ca="1" si="42"/>
        <v>184.52438972208145</v>
      </c>
      <c r="J110" s="306">
        <f t="shared" ca="1" si="43"/>
        <v>143.77247221328292</v>
      </c>
      <c r="K110" s="307">
        <f t="shared" ca="1" si="44"/>
        <v>690.93018812554192</v>
      </c>
      <c r="L110" s="304">
        <f t="shared" ca="1" si="29"/>
        <v>705.73015284137887</v>
      </c>
      <c r="M110" s="306">
        <f t="shared" ca="1" si="45"/>
        <v>1.3453518036690859</v>
      </c>
      <c r="N110" s="304">
        <f t="shared" ca="1" si="46"/>
        <v>77.082980310551562</v>
      </c>
      <c r="P110" s="310">
        <f t="shared" ca="1" si="47"/>
        <v>12</v>
      </c>
      <c r="Q110" s="304">
        <f t="shared" ca="1" si="48"/>
        <v>3.1250000000028173</v>
      </c>
      <c r="R110" s="306">
        <f t="shared" ca="1" si="49"/>
        <v>1.6585930918296332E-3</v>
      </c>
      <c r="S110" s="307">
        <f t="shared" ca="1" si="50"/>
        <v>2.979313268744733</v>
      </c>
      <c r="T110" s="304">
        <f t="shared" ca="1" si="30"/>
        <v>29.227063166385832</v>
      </c>
      <c r="U110" s="311">
        <f t="shared" ca="1" si="31"/>
        <v>0</v>
      </c>
      <c r="V110" s="306">
        <f t="shared" ca="1" si="32"/>
        <v>1.143187391986898</v>
      </c>
      <c r="W110" s="304">
        <f t="shared" ca="1" si="33"/>
        <v>79.70725460813604</v>
      </c>
      <c r="Y110" s="314" t="str">
        <f t="shared" ca="1" si="51"/>
        <v/>
      </c>
      <c r="Z110" s="315" t="str">
        <f t="shared" ca="1" si="52"/>
        <v/>
      </c>
      <c r="AA110" s="316" t="str">
        <f t="shared" ca="1" si="53"/>
        <v/>
      </c>
      <c r="AC110" s="310" t="e">
        <f t="shared" ca="1" si="54"/>
        <v>#N/A</v>
      </c>
      <c r="AD110" s="323" t="e">
        <f t="shared" ca="1" si="55"/>
        <v>#N/A</v>
      </c>
      <c r="AE110" s="324">
        <f t="shared" ca="1" si="34"/>
        <v>690.93018812554192</v>
      </c>
      <c r="AG110" s="306">
        <f t="shared" ca="1" si="56"/>
        <v>-35.374198220740396</v>
      </c>
      <c r="AH110" s="304">
        <f t="shared" ca="1" si="57"/>
        <v>-25.812181482142545</v>
      </c>
    </row>
    <row r="111" spans="1:34" x14ac:dyDescent="0.2">
      <c r="A111" s="347">
        <f t="shared" ca="1" si="35"/>
        <v>0.01</v>
      </c>
      <c r="B111" s="304">
        <f t="shared" ca="1" si="36"/>
        <v>4.2699999999999774</v>
      </c>
      <c r="D111" s="306">
        <f t="shared" ca="1" si="37"/>
        <v>-5.839820176297037</v>
      </c>
      <c r="E111" s="307">
        <f t="shared" ca="1" si="38"/>
        <v>-35.273233673352671</v>
      </c>
      <c r="F111" s="304">
        <f t="shared" ca="1" si="39"/>
        <v>35.753384643505107</v>
      </c>
      <c r="G111" s="306">
        <f t="shared" ca="1" si="40"/>
        <v>41.190120879710349</v>
      </c>
      <c r="H111" s="307">
        <f t="shared" ca="1" si="41"/>
        <v>179.50223722455473</v>
      </c>
      <c r="I111" s="304">
        <f t="shared" ca="1" si="42"/>
        <v>184.16753032688871</v>
      </c>
      <c r="J111" s="306">
        <f t="shared" ca="1" si="43"/>
        <v>144.18466541308885</v>
      </c>
      <c r="K111" s="307">
        <f t="shared" ca="1" si="44"/>
        <v>692.72697415947118</v>
      </c>
      <c r="L111" s="304">
        <f t="shared" ca="1" si="29"/>
        <v>707.57323187668783</v>
      </c>
      <c r="M111" s="306">
        <f t="shared" ca="1" si="45"/>
        <v>1.3452327314280597</v>
      </c>
      <c r="N111" s="304">
        <f t="shared" ca="1" si="46"/>
        <v>77.076157973683593</v>
      </c>
      <c r="P111" s="310">
        <f t="shared" ca="1" si="47"/>
        <v>12</v>
      </c>
      <c r="Q111" s="304">
        <f t="shared" ca="1" si="48"/>
        <v>1.8750000000028457</v>
      </c>
      <c r="R111" s="306">
        <f t="shared" ca="1" si="49"/>
        <v>9.9515585509839309E-4</v>
      </c>
      <c r="S111" s="307">
        <f t="shared" ca="1" si="50"/>
        <v>2.979303317186182</v>
      </c>
      <c r="T111" s="304">
        <f t="shared" ca="1" si="30"/>
        <v>29.226965541596446</v>
      </c>
      <c r="U111" s="311">
        <f t="shared" ca="1" si="31"/>
        <v>0</v>
      </c>
      <c r="V111" s="306">
        <f t="shared" ca="1" si="32"/>
        <v>1.142981758092585</v>
      </c>
      <c r="W111" s="304">
        <f t="shared" ca="1" si="33"/>
        <v>79.384972217599568</v>
      </c>
      <c r="Y111" s="314" t="str">
        <f t="shared" ca="1" si="51"/>
        <v/>
      </c>
      <c r="Z111" s="315" t="str">
        <f t="shared" ca="1" si="52"/>
        <v/>
      </c>
      <c r="AA111" s="316" t="str">
        <f t="shared" ca="1" si="53"/>
        <v/>
      </c>
      <c r="AC111" s="310" t="e">
        <f t="shared" ca="1" si="54"/>
        <v>#N/A</v>
      </c>
      <c r="AD111" s="323" t="e">
        <f t="shared" ca="1" si="55"/>
        <v>#N/A</v>
      </c>
      <c r="AE111" s="324">
        <f t="shared" ca="1" si="34"/>
        <v>692.72697415947118</v>
      </c>
      <c r="AG111" s="306">
        <f t="shared" ca="1" si="56"/>
        <v>-35.686070077463661</v>
      </c>
      <c r="AH111" s="304">
        <f t="shared" ca="1" si="57"/>
        <v>-26.12431374783359</v>
      </c>
    </row>
    <row r="112" spans="1:34" x14ac:dyDescent="0.2">
      <c r="A112" s="347">
        <f t="shared" ca="1" si="35"/>
        <v>0.01</v>
      </c>
      <c r="B112" s="304">
        <f t="shared" ca="1" si="36"/>
        <v>4.2799999999999772</v>
      </c>
      <c r="D112" s="306">
        <f t="shared" ca="1" si="37"/>
        <v>-5.9125022613475977</v>
      </c>
      <c r="E112" s="307">
        <f t="shared" ca="1" si="38"/>
        <v>-35.576066251821018</v>
      </c>
      <c r="F112" s="304">
        <f t="shared" ca="1" si="39"/>
        <v>36.064028795246919</v>
      </c>
      <c r="G112" s="306">
        <f t="shared" ca="1" si="40"/>
        <v>41.13099585709687</v>
      </c>
      <c r="H112" s="307">
        <f t="shared" ca="1" si="41"/>
        <v>179.14647656203653</v>
      </c>
      <c r="I112" s="304">
        <f t="shared" ca="1" si="42"/>
        <v>183.80755937879385</v>
      </c>
      <c r="J112" s="306">
        <f t="shared" ca="1" si="43"/>
        <v>144.59627099677289</v>
      </c>
      <c r="K112" s="307">
        <f t="shared" ca="1" si="44"/>
        <v>694.52021772840419</v>
      </c>
      <c r="L112" s="304">
        <f t="shared" ca="1" si="29"/>
        <v>709.41272501956303</v>
      </c>
      <c r="M112" s="306">
        <f t="shared" ca="1" si="45"/>
        <v>1.3451133640534163</v>
      </c>
      <c r="N112" s="304">
        <f t="shared" ca="1" si="46"/>
        <v>77.069318726904967</v>
      </c>
      <c r="P112" s="310">
        <f t="shared" ca="1" si="47"/>
        <v>12</v>
      </c>
      <c r="Q112" s="304">
        <f t="shared" ca="1" si="48"/>
        <v>0.62500000000287237</v>
      </c>
      <c r="R112" s="306">
        <f t="shared" ca="1" si="49"/>
        <v>3.3171861836715213E-4</v>
      </c>
      <c r="S112" s="307">
        <f t="shared" ca="1" si="50"/>
        <v>2.9792999999999985</v>
      </c>
      <c r="T112" s="304">
        <f t="shared" ca="1" si="30"/>
        <v>29.226932999999988</v>
      </c>
      <c r="U112" s="311">
        <f t="shared" ca="1" si="31"/>
        <v>0</v>
      </c>
      <c r="V112" s="306">
        <f t="shared" ca="1" si="32"/>
        <v>1.1427765652195745</v>
      </c>
      <c r="W112" s="304">
        <f t="shared" ca="1" si="33"/>
        <v>79.060750406759212</v>
      </c>
      <c r="Y112" s="314" t="str">
        <f t="shared" ca="1" si="51"/>
        <v/>
      </c>
      <c r="Z112" s="315" t="str">
        <f t="shared" ca="1" si="52"/>
        <v/>
      </c>
      <c r="AA112" s="316" t="str">
        <f t="shared" ca="1" si="53"/>
        <v/>
      </c>
      <c r="AC112" s="310" t="e">
        <f t="shared" ca="1" si="54"/>
        <v>#N/A</v>
      </c>
      <c r="AD112" s="323" t="e">
        <f t="shared" ca="1" si="55"/>
        <v>#N/A</v>
      </c>
      <c r="AE112" s="324">
        <f t="shared" ca="1" si="34"/>
        <v>694.52021772840419</v>
      </c>
      <c r="AG112" s="306">
        <f t="shared" ca="1" si="56"/>
        <v>-35.997225759232549</v>
      </c>
      <c r="AH112" s="304">
        <f t="shared" ca="1" si="57"/>
        <v>-26.435730613767241</v>
      </c>
    </row>
    <row r="113" spans="1:34" x14ac:dyDescent="0.2">
      <c r="A113" s="347">
        <f t="shared" ca="1" si="35"/>
        <v>0.01</v>
      </c>
      <c r="B113" s="304">
        <f t="shared" ca="1" si="36"/>
        <v>4.2899999999999769</v>
      </c>
      <c r="D113" s="306">
        <f t="shared" ca="1" si="37"/>
        <v>-5.9381689771739943</v>
      </c>
      <c r="E113" s="307">
        <f t="shared" ca="1" si="38"/>
        <v>-35.673756209227825</v>
      </c>
      <c r="F113" s="304">
        <f t="shared" ca="1" si="39"/>
        <v>36.16460607938226</v>
      </c>
      <c r="G113" s="306">
        <f t="shared" ca="1" si="40"/>
        <v>41.07161416732513</v>
      </c>
      <c r="H113" s="307">
        <f t="shared" ca="1" si="41"/>
        <v>178.78973899994423</v>
      </c>
      <c r="I113" s="304">
        <f t="shared" ca="1" si="42"/>
        <v>183.44658149438982</v>
      </c>
      <c r="J113" s="306">
        <f t="shared" ca="1" si="43"/>
        <v>145.00728404689499</v>
      </c>
      <c r="K113" s="307">
        <f t="shared" ca="1" si="44"/>
        <v>696.30989880621405</v>
      </c>
      <c r="L113" s="304">
        <f t="shared" ca="1" si="29"/>
        <v>711.24861166977121</v>
      </c>
      <c r="M113" s="306">
        <f t="shared" ca="1" si="45"/>
        <v>1.3449936995779408</v>
      </c>
      <c r="N113" s="304">
        <f t="shared" ca="1" si="46"/>
        <v>77.062462457502576</v>
      </c>
      <c r="P113" s="310">
        <f t="shared" ca="1" si="47"/>
        <v>13</v>
      </c>
      <c r="Q113" s="304">
        <f t="shared" ca="1" si="48"/>
        <v>0</v>
      </c>
      <c r="R113" s="306">
        <f t="shared" ca="1" si="49"/>
        <v>0</v>
      </c>
      <c r="S113" s="307">
        <f t="shared" ca="1" si="50"/>
        <v>2.9792999999999985</v>
      </c>
      <c r="T113" s="304">
        <f t="shared" ca="1" si="30"/>
        <v>29.226932999999988</v>
      </c>
      <c r="U113" s="311">
        <f t="shared" ca="1" si="31"/>
        <v>0</v>
      </c>
      <c r="V113" s="306">
        <f t="shared" ca="1" si="32"/>
        <v>1.1425718154387692</v>
      </c>
      <c r="W113" s="304">
        <f t="shared" ca="1" si="33"/>
        <v>78.736412422557422</v>
      </c>
      <c r="Y113" s="314" t="str">
        <f t="shared" ca="1" si="51"/>
        <v>Fin de propulsion</v>
      </c>
      <c r="Z113" s="315" t="str">
        <f t="shared" ca="1" si="52"/>
        <v/>
      </c>
      <c r="AA113" s="316" t="str">
        <f t="shared" ca="1" si="53"/>
        <v/>
      </c>
      <c r="AC113" s="310" t="e">
        <f t="shared" ca="1" si="54"/>
        <v>#N/A</v>
      </c>
      <c r="AD113" s="323" t="e">
        <f t="shared" ca="1" si="55"/>
        <v>#N/A</v>
      </c>
      <c r="AE113" s="324">
        <f t="shared" ca="1" si="34"/>
        <v>696.30989880621405</v>
      </c>
      <c r="AG113" s="306">
        <f t="shared" ca="1" si="56"/>
        <v>-36.097919784362361</v>
      </c>
      <c r="AH113" s="304">
        <f t="shared" ca="1" si="57"/>
        <v>-26.536686606504631</v>
      </c>
    </row>
    <row r="114" spans="1:34" x14ac:dyDescent="0.2">
      <c r="A114" s="347">
        <f t="shared" ca="1" si="35"/>
        <v>0.01</v>
      </c>
      <c r="B114" s="304">
        <f t="shared" ca="1" si="36"/>
        <v>4.2999999999999767</v>
      </c>
      <c r="D114" s="306">
        <f t="shared" ca="1" si="37"/>
        <v>-5.9168905294112912</v>
      </c>
      <c r="E114" s="307">
        <f t="shared" ca="1" si="38"/>
        <v>-35.566945152798283</v>
      </c>
      <c r="F114" s="304">
        <f t="shared" ca="1" si="39"/>
        <v>36.055751011998048</v>
      </c>
      <c r="G114" s="306">
        <f t="shared" ca="1" si="40"/>
        <v>41.012445262031015</v>
      </c>
      <c r="H114" s="307">
        <f t="shared" ca="1" si="41"/>
        <v>178.43406954841626</v>
      </c>
      <c r="I114" s="304">
        <f t="shared" ca="1" si="42"/>
        <v>183.08669487972122</v>
      </c>
      <c r="J114" s="306">
        <f t="shared" ca="1" si="43"/>
        <v>145.41770434404177</v>
      </c>
      <c r="K114" s="307">
        <f t="shared" ca="1" si="44"/>
        <v>698.09601784895585</v>
      </c>
      <c r="L114" s="304">
        <f t="shared" ca="1" si="29"/>
        <v>713.08089223682111</v>
      </c>
      <c r="M114" s="306">
        <f t="shared" ca="1" si="45"/>
        <v>1.3448737373916697</v>
      </c>
      <c r="N114" s="304">
        <f t="shared" ca="1" si="46"/>
        <v>77.055589130528091</v>
      </c>
      <c r="P114" s="310">
        <f t="shared" ca="1" si="47"/>
        <v>13</v>
      </c>
      <c r="Q114" s="304">
        <f t="shared" ca="1" si="48"/>
        <v>0</v>
      </c>
      <c r="R114" s="306">
        <f t="shared" ca="1" si="49"/>
        <v>0</v>
      </c>
      <c r="S114" s="307">
        <f t="shared" ca="1" si="50"/>
        <v>2.9792999999999985</v>
      </c>
      <c r="T114" s="304">
        <f t="shared" ca="1" si="30"/>
        <v>29.226932999999988</v>
      </c>
      <c r="U114" s="311">
        <f t="shared" ca="1" si="31"/>
        <v>0</v>
      </c>
      <c r="V114" s="306">
        <f t="shared" ca="1" si="32"/>
        <v>1.1423675084773481</v>
      </c>
      <c r="W114" s="304">
        <f t="shared" ca="1" si="33"/>
        <v>78.413760386742553</v>
      </c>
      <c r="Y114" s="314" t="str">
        <f t="shared" ca="1" si="51"/>
        <v/>
      </c>
      <c r="Z114" s="315" t="str">
        <f t="shared" ca="1" si="52"/>
        <v/>
      </c>
      <c r="AA114" s="316" t="str">
        <f t="shared" ca="1" si="53"/>
        <v/>
      </c>
      <c r="AC114" s="310" t="e">
        <f t="shared" ca="1" si="54"/>
        <v>#N/A</v>
      </c>
      <c r="AD114" s="323" t="e">
        <f t="shared" ca="1" si="55"/>
        <v>#N/A</v>
      </c>
      <c r="AE114" s="324">
        <f t="shared" ca="1" si="34"/>
        <v>698.09601784895585</v>
      </c>
      <c r="AG114" s="306">
        <f t="shared" ca="1" si="56"/>
        <v>-35.988793206213664</v>
      </c>
      <c r="AH114" s="304">
        <f t="shared" ca="1" si="57"/>
        <v>-26.427822784733817</v>
      </c>
    </row>
    <row r="115" spans="1:34" x14ac:dyDescent="0.2">
      <c r="A115" s="347">
        <f t="shared" ca="1" si="35"/>
        <v>0.01</v>
      </c>
      <c r="B115" s="304">
        <f t="shared" ca="1" si="36"/>
        <v>4.3099999999999765</v>
      </c>
      <c r="D115" s="306">
        <f t="shared" ca="1" si="37"/>
        <v>-5.8957210023266864</v>
      </c>
      <c r="E115" s="307">
        <f t="shared" ca="1" si="38"/>
        <v>-35.460689312620644</v>
      </c>
      <c r="F115" s="304">
        <f t="shared" ca="1" si="39"/>
        <v>35.947461838959981</v>
      </c>
      <c r="G115" s="306">
        <f t="shared" ca="1" si="40"/>
        <v>40.953488052007749</v>
      </c>
      <c r="H115" s="307">
        <f t="shared" ca="1" si="41"/>
        <v>178.07946265529006</v>
      </c>
      <c r="I115" s="304">
        <f t="shared" ca="1" si="42"/>
        <v>182.72789388383697</v>
      </c>
      <c r="J115" s="306">
        <f t="shared" ca="1" si="43"/>
        <v>145.82753401061197</v>
      </c>
      <c r="K115" s="307">
        <f t="shared" ca="1" si="44"/>
        <v>699.87858550997441</v>
      </c>
      <c r="L115" s="304">
        <f t="shared" ca="1" si="29"/>
        <v>714.90957759080186</v>
      </c>
      <c r="M115" s="306">
        <f t="shared" ca="1" si="45"/>
        <v>1.344753476882345</v>
      </c>
      <c r="N115" s="304">
        <f t="shared" ca="1" si="46"/>
        <v>77.048698710901689</v>
      </c>
      <c r="P115" s="310">
        <f t="shared" ca="1" si="47"/>
        <v>13</v>
      </c>
      <c r="Q115" s="304">
        <f t="shared" ca="1" si="48"/>
        <v>0</v>
      </c>
      <c r="R115" s="306">
        <f t="shared" ca="1" si="49"/>
        <v>0</v>
      </c>
      <c r="S115" s="307">
        <f t="shared" ca="1" si="50"/>
        <v>2.9792999999999985</v>
      </c>
      <c r="T115" s="304">
        <f t="shared" ca="1" si="30"/>
        <v>29.226932999999988</v>
      </c>
      <c r="U115" s="311">
        <f t="shared" ca="1" si="31"/>
        <v>0</v>
      </c>
      <c r="V115" s="306">
        <f t="shared" ca="1" si="32"/>
        <v>1.1421636428969331</v>
      </c>
      <c r="W115" s="304">
        <f t="shared" ca="1" si="33"/>
        <v>78.092782672142746</v>
      </c>
      <c r="Y115" s="314" t="str">
        <f t="shared" ca="1" si="51"/>
        <v/>
      </c>
      <c r="Z115" s="315" t="str">
        <f t="shared" ca="1" si="52"/>
        <v/>
      </c>
      <c r="AA115" s="316" t="str">
        <f t="shared" ca="1" si="53"/>
        <v/>
      </c>
      <c r="AC115" s="310" t="e">
        <f t="shared" ca="1" si="54"/>
        <v>#N/A</v>
      </c>
      <c r="AD115" s="323" t="e">
        <f t="shared" ca="1" si="55"/>
        <v>#N/A</v>
      </c>
      <c r="AE115" s="324">
        <f t="shared" ca="1" si="34"/>
        <v>699.87858550997441</v>
      </c>
      <c r="AG115" s="306">
        <f t="shared" ca="1" si="56"/>
        <v>-35.880231724357103</v>
      </c>
      <c r="AH115" s="304">
        <f t="shared" ca="1" si="57"/>
        <v>-26.319524850381832</v>
      </c>
    </row>
    <row r="116" spans="1:34" x14ac:dyDescent="0.2">
      <c r="A116" s="347">
        <f t="shared" ca="1" si="35"/>
        <v>0.01</v>
      </c>
      <c r="B116" s="304">
        <f t="shared" ca="1" si="36"/>
        <v>4.3199999999999763</v>
      </c>
      <c r="D116" s="306">
        <f t="shared" ca="1" si="37"/>
        <v>-5.8746596414717844</v>
      </c>
      <c r="E116" s="307">
        <f t="shared" ca="1" si="38"/>
        <v>-35.354984859591859</v>
      </c>
      <c r="F116" s="304">
        <f t="shared" ca="1" si="39"/>
        <v>35.839734657571157</v>
      </c>
      <c r="G116" s="306">
        <f t="shared" ca="1" si="40"/>
        <v>40.894741455593028</v>
      </c>
      <c r="H116" s="307">
        <f t="shared" ca="1" si="41"/>
        <v>177.72591280669414</v>
      </c>
      <c r="I116" s="304">
        <f t="shared" ca="1" si="42"/>
        <v>182.3701728948362</v>
      </c>
      <c r="J116" s="306">
        <f t="shared" ca="1" si="43"/>
        <v>146.23677515814998</v>
      </c>
      <c r="K116" s="307">
        <f t="shared" ca="1" si="44"/>
        <v>701.6576123872843</v>
      </c>
      <c r="L116" s="304">
        <f t="shared" ca="1" si="29"/>
        <v>716.73467854547107</v>
      </c>
      <c r="M116" s="306">
        <f t="shared" ca="1" si="45"/>
        <v>1.3446329174354057</v>
      </c>
      <c r="N116" s="304">
        <f t="shared" ca="1" si="46"/>
        <v>77.041791163411631</v>
      </c>
      <c r="P116" s="310">
        <f t="shared" ca="1" si="47"/>
        <v>13</v>
      </c>
      <c r="Q116" s="304">
        <f t="shared" ca="1" si="48"/>
        <v>0</v>
      </c>
      <c r="R116" s="306">
        <f t="shared" ca="1" si="49"/>
        <v>0</v>
      </c>
      <c r="S116" s="307">
        <f t="shared" ca="1" si="50"/>
        <v>2.9792999999999985</v>
      </c>
      <c r="T116" s="304">
        <f t="shared" ca="1" si="30"/>
        <v>29.226932999999988</v>
      </c>
      <c r="U116" s="311">
        <f t="shared" ca="1" si="31"/>
        <v>0</v>
      </c>
      <c r="V116" s="306">
        <f t="shared" ca="1" si="32"/>
        <v>1.141960217266843</v>
      </c>
      <c r="W116" s="304">
        <f t="shared" ca="1" si="33"/>
        <v>77.773467752439089</v>
      </c>
      <c r="Y116" s="314" t="str">
        <f t="shared" ca="1" si="51"/>
        <v/>
      </c>
      <c r="Z116" s="315" t="str">
        <f t="shared" ca="1" si="52"/>
        <v/>
      </c>
      <c r="AA116" s="316" t="str">
        <f t="shared" ca="1" si="53"/>
        <v/>
      </c>
      <c r="AC116" s="310" t="e">
        <f t="shared" ca="1" si="54"/>
        <v>#N/A</v>
      </c>
      <c r="AD116" s="323" t="e">
        <f t="shared" ca="1" si="55"/>
        <v>#N/A</v>
      </c>
      <c r="AE116" s="324">
        <f t="shared" ca="1" si="34"/>
        <v>701.6576123872843</v>
      </c>
      <c r="AG116" s="306">
        <f t="shared" ca="1" si="56"/>
        <v>-35.772231433773712</v>
      </c>
      <c r="AH116" s="304">
        <f t="shared" ca="1" si="57"/>
        <v>-26.211788900796424</v>
      </c>
    </row>
    <row r="117" spans="1:34" x14ac:dyDescent="0.2">
      <c r="A117" s="347">
        <f t="shared" ca="1" si="35"/>
        <v>0.01</v>
      </c>
      <c r="B117" s="304">
        <f t="shared" ca="1" si="36"/>
        <v>4.3299999999999761</v>
      </c>
      <c r="D117" s="306">
        <f t="shared" ca="1" si="37"/>
        <v>-5.8537056989390264</v>
      </c>
      <c r="E117" s="307">
        <f t="shared" ca="1" si="38"/>
        <v>-35.249827997821953</v>
      </c>
      <c r="F117" s="304">
        <f t="shared" ca="1" si="39"/>
        <v>35.732565598985801</v>
      </c>
      <c r="G117" s="306">
        <f t="shared" ca="1" si="40"/>
        <v>40.836204398603641</v>
      </c>
      <c r="H117" s="307">
        <f t="shared" ca="1" si="41"/>
        <v>177.37341452671592</v>
      </c>
      <c r="I117" s="304">
        <f t="shared" ca="1" si="42"/>
        <v>182.01352633952988</v>
      </c>
      <c r="J117" s="306">
        <f t="shared" ca="1" si="43"/>
        <v>146.64542988742096</v>
      </c>
      <c r="K117" s="307">
        <f t="shared" ca="1" si="44"/>
        <v>703.43310902395137</v>
      </c>
      <c r="L117" s="304">
        <f t="shared" ca="1" si="29"/>
        <v>718.55620585864312</v>
      </c>
      <c r="M117" s="306">
        <f t="shared" ca="1" si="45"/>
        <v>1.3445120584339789</v>
      </c>
      <c r="N117" s="304">
        <f t="shared" ca="1" si="46"/>
        <v>77.034866452713715</v>
      </c>
      <c r="P117" s="310">
        <f t="shared" ca="1" si="47"/>
        <v>13</v>
      </c>
      <c r="Q117" s="304">
        <f t="shared" ca="1" si="48"/>
        <v>0</v>
      </c>
      <c r="R117" s="306">
        <f t="shared" ca="1" si="49"/>
        <v>0</v>
      </c>
      <c r="S117" s="307">
        <f t="shared" ca="1" si="50"/>
        <v>2.9792999999999985</v>
      </c>
      <c r="T117" s="304">
        <f t="shared" ca="1" si="30"/>
        <v>29.226932999999988</v>
      </c>
      <c r="U117" s="311">
        <f t="shared" ca="1" si="31"/>
        <v>0</v>
      </c>
      <c r="V117" s="306">
        <f t="shared" ca="1" si="32"/>
        <v>1.14175723016404</v>
      </c>
      <c r="W117" s="304">
        <f t="shared" ca="1" si="33"/>
        <v>77.455804201114603</v>
      </c>
      <c r="Y117" s="314" t="str">
        <f t="shared" ca="1" si="51"/>
        <v/>
      </c>
      <c r="Z117" s="315" t="str">
        <f t="shared" ca="1" si="52"/>
        <v/>
      </c>
      <c r="AA117" s="316" t="str">
        <f t="shared" ca="1" si="53"/>
        <v/>
      </c>
      <c r="AC117" s="310" t="e">
        <f t="shared" ca="1" si="54"/>
        <v>#N/A</v>
      </c>
      <c r="AD117" s="323" t="e">
        <f t="shared" ca="1" si="55"/>
        <v>#N/A</v>
      </c>
      <c r="AE117" s="324">
        <f t="shared" ca="1" si="34"/>
        <v>703.43310902395137</v>
      </c>
      <c r="AG117" s="306">
        <f t="shared" ca="1" si="56"/>
        <v>-35.664788463285376</v>
      </c>
      <c r="AH117" s="304">
        <f t="shared" ca="1" si="57"/>
        <v>-26.10461106717656</v>
      </c>
    </row>
    <row r="118" spans="1:34" x14ac:dyDescent="0.2">
      <c r="A118" s="347">
        <f t="shared" ca="1" si="35"/>
        <v>0.01</v>
      </c>
      <c r="B118" s="304">
        <f t="shared" ca="1" si="36"/>
        <v>4.3399999999999759</v>
      </c>
      <c r="D118" s="306">
        <f t="shared" ca="1" si="37"/>
        <v>-5.8328584332935245</v>
      </c>
      <c r="E118" s="307">
        <f t="shared" ca="1" si="38"/>
        <v>-35.145214964287909</v>
      </c>
      <c r="F118" s="304">
        <f t="shared" ca="1" si="39"/>
        <v>35.625950827856514</v>
      </c>
      <c r="G118" s="306">
        <f t="shared" ca="1" si="40"/>
        <v>40.777875814270708</v>
      </c>
      <c r="H118" s="307">
        <f t="shared" ca="1" si="41"/>
        <v>177.02196237707304</v>
      </c>
      <c r="I118" s="304">
        <f t="shared" ca="1" si="42"/>
        <v>181.65794868310593</v>
      </c>
      <c r="J118" s="306">
        <f t="shared" ca="1" si="43"/>
        <v>147.05350028848534</v>
      </c>
      <c r="K118" s="307">
        <f t="shared" ca="1" si="44"/>
        <v>705.20508590847032</v>
      </c>
      <c r="L118" s="304">
        <f t="shared" ca="1" si="29"/>
        <v>720.37417023257331</v>
      </c>
      <c r="M118" s="306">
        <f t="shared" ca="1" si="45"/>
        <v>1.3443908992588718</v>
      </c>
      <c r="N118" s="304">
        <f t="shared" ca="1" si="46"/>
        <v>77.027924543330784</v>
      </c>
      <c r="P118" s="310">
        <f t="shared" ca="1" si="47"/>
        <v>13</v>
      </c>
      <c r="Q118" s="304">
        <f t="shared" ca="1" si="48"/>
        <v>0</v>
      </c>
      <c r="R118" s="306">
        <f t="shared" ca="1" si="49"/>
        <v>0</v>
      </c>
      <c r="S118" s="307">
        <f t="shared" ca="1" si="50"/>
        <v>2.9792999999999985</v>
      </c>
      <c r="T118" s="304">
        <f t="shared" ca="1" si="30"/>
        <v>29.226932999999988</v>
      </c>
      <c r="U118" s="311">
        <f t="shared" ca="1" si="31"/>
        <v>0</v>
      </c>
      <c r="V118" s="306">
        <f t="shared" ca="1" si="32"/>
        <v>1.1415546801730729</v>
      </c>
      <c r="W118" s="304">
        <f t="shared" ca="1" si="33"/>
        <v>77.139780690416075</v>
      </c>
      <c r="Y118" s="314" t="str">
        <f t="shared" ca="1" si="51"/>
        <v/>
      </c>
      <c r="Z118" s="315" t="str">
        <f t="shared" ca="1" si="52"/>
        <v/>
      </c>
      <c r="AA118" s="316" t="str">
        <f t="shared" ca="1" si="53"/>
        <v/>
      </c>
      <c r="AC118" s="310" t="e">
        <f t="shared" ca="1" si="54"/>
        <v>#N/A</v>
      </c>
      <c r="AD118" s="323" t="e">
        <f t="shared" ca="1" si="55"/>
        <v>#N/A</v>
      </c>
      <c r="AE118" s="324">
        <f t="shared" ca="1" si="34"/>
        <v>705.20508590847032</v>
      </c>
      <c r="AG118" s="306">
        <f t="shared" ca="1" si="56"/>
        <v>-35.557898975202008</v>
      </c>
      <c r="AH118" s="304">
        <f t="shared" ca="1" si="57"/>
        <v>-25.997987514219663</v>
      </c>
    </row>
    <row r="119" spans="1:34" x14ac:dyDescent="0.2">
      <c r="A119" s="347">
        <f t="shared" ca="1" si="35"/>
        <v>0.01</v>
      </c>
      <c r="B119" s="304">
        <f t="shared" ca="1" si="36"/>
        <v>4.3499999999999757</v>
      </c>
      <c r="D119" s="306">
        <f t="shared" ca="1" si="37"/>
        <v>-5.8121171095057189</v>
      </c>
      <c r="E119" s="307">
        <f t="shared" ca="1" si="38"/>
        <v>-35.04114202849177</v>
      </c>
      <c r="F119" s="304">
        <f t="shared" ca="1" si="39"/>
        <v>35.519886541985763</v>
      </c>
      <c r="G119" s="306">
        <f t="shared" ca="1" si="40"/>
        <v>40.719754643175648</v>
      </c>
      <c r="H119" s="307">
        <f t="shared" ca="1" si="41"/>
        <v>176.67155095678811</v>
      </c>
      <c r="I119" s="304">
        <f t="shared" ca="1" si="42"/>
        <v>181.30343442879786</v>
      </c>
      <c r="J119" s="306">
        <f t="shared" ca="1" si="43"/>
        <v>147.46098844077258</v>
      </c>
      <c r="K119" s="307">
        <f t="shared" ca="1" si="44"/>
        <v>706.97355347513962</v>
      </c>
      <c r="L119" s="304">
        <f t="shared" ca="1" si="29"/>
        <v>722.18858231433967</v>
      </c>
      <c r="M119" s="306">
        <f t="shared" ca="1" si="45"/>
        <v>1.3442694392885626</v>
      </c>
      <c r="N119" s="304">
        <f t="shared" ca="1" si="46"/>
        <v>77.020965399652283</v>
      </c>
      <c r="P119" s="310">
        <f t="shared" ca="1" si="47"/>
        <v>13</v>
      </c>
      <c r="Q119" s="304">
        <f t="shared" ca="1" si="48"/>
        <v>0</v>
      </c>
      <c r="R119" s="306">
        <f t="shared" ca="1" si="49"/>
        <v>0</v>
      </c>
      <c r="S119" s="307">
        <f t="shared" ca="1" si="50"/>
        <v>2.9792999999999985</v>
      </c>
      <c r="T119" s="304">
        <f t="shared" ca="1" si="30"/>
        <v>29.226932999999988</v>
      </c>
      <c r="U119" s="311">
        <f t="shared" ca="1" si="31"/>
        <v>0</v>
      </c>
      <c r="V119" s="306">
        <f t="shared" ca="1" si="32"/>
        <v>1.1413525658860273</v>
      </c>
      <c r="W119" s="304">
        <f t="shared" ca="1" si="33"/>
        <v>76.82538599032867</v>
      </c>
      <c r="Y119" s="314" t="str">
        <f t="shared" ca="1" si="51"/>
        <v/>
      </c>
      <c r="Z119" s="315" t="str">
        <f t="shared" ca="1" si="52"/>
        <v/>
      </c>
      <c r="AA119" s="316" t="str">
        <f t="shared" ca="1" si="53"/>
        <v/>
      </c>
      <c r="AC119" s="310" t="e">
        <f t="shared" ca="1" si="54"/>
        <v>#N/A</v>
      </c>
      <c r="AD119" s="323" t="e">
        <f t="shared" ca="1" si="55"/>
        <v>#N/A</v>
      </c>
      <c r="AE119" s="324">
        <f t="shared" ca="1" si="34"/>
        <v>706.97355347513962</v>
      </c>
      <c r="AG119" s="306">
        <f t="shared" ca="1" si="56"/>
        <v>-35.451559164973034</v>
      </c>
      <c r="AH119" s="304">
        <f t="shared" ca="1" si="57"/>
        <v>-25.891914439773139</v>
      </c>
    </row>
    <row r="120" spans="1:34" x14ac:dyDescent="0.2">
      <c r="A120" s="347">
        <f t="shared" ca="1" si="35"/>
        <v>0.01</v>
      </c>
      <c r="B120" s="304">
        <f t="shared" ca="1" si="36"/>
        <v>4.3599999999999755</v>
      </c>
      <c r="D120" s="306">
        <f t="shared" ca="1" si="37"/>
        <v>-5.7914809988848734</v>
      </c>
      <c r="E120" s="307">
        <f t="shared" ca="1" si="38"/>
        <v>-34.937605492122941</v>
      </c>
      <c r="F120" s="304">
        <f t="shared" ca="1" si="39"/>
        <v>35.414368971981752</v>
      </c>
      <c r="G120" s="306">
        <f t="shared" ca="1" si="40"/>
        <v>40.661839833186797</v>
      </c>
      <c r="H120" s="307">
        <f t="shared" ca="1" si="41"/>
        <v>176.32217490186687</v>
      </c>
      <c r="I120" s="304">
        <f t="shared" ca="1" si="42"/>
        <v>180.94997811755675</v>
      </c>
      <c r="J120" s="306">
        <f t="shared" ca="1" si="43"/>
        <v>147.8678964131544</v>
      </c>
      <c r="K120" s="307">
        <f t="shared" ca="1" si="44"/>
        <v>708.73852210443295</v>
      </c>
      <c r="L120" s="304">
        <f t="shared" ca="1" si="29"/>
        <v>723.99945269622071</v>
      </c>
      <c r="M120" s="306">
        <f t="shared" ca="1" si="45"/>
        <v>1.3441476778991921</v>
      </c>
      <c r="N120" s="304">
        <f t="shared" ca="1" si="46"/>
        <v>77.013988985933707</v>
      </c>
      <c r="P120" s="310">
        <f t="shared" ca="1" si="47"/>
        <v>13</v>
      </c>
      <c r="Q120" s="304">
        <f t="shared" ca="1" si="48"/>
        <v>0</v>
      </c>
      <c r="R120" s="306">
        <f t="shared" ca="1" si="49"/>
        <v>0</v>
      </c>
      <c r="S120" s="307">
        <f t="shared" ca="1" si="50"/>
        <v>2.9792999999999985</v>
      </c>
      <c r="T120" s="304">
        <f t="shared" ca="1" si="30"/>
        <v>29.226932999999988</v>
      </c>
      <c r="U120" s="311">
        <f t="shared" ca="1" si="31"/>
        <v>0</v>
      </c>
      <c r="V120" s="306">
        <f t="shared" ca="1" si="32"/>
        <v>1.1411508859024697</v>
      </c>
      <c r="W120" s="304">
        <f t="shared" ca="1" si="33"/>
        <v>76.512608967562855</v>
      </c>
      <c r="Y120" s="314" t="str">
        <f t="shared" ca="1" si="51"/>
        <v/>
      </c>
      <c r="Z120" s="315" t="str">
        <f t="shared" ca="1" si="52"/>
        <v/>
      </c>
      <c r="AA120" s="316" t="str">
        <f t="shared" ca="1" si="53"/>
        <v/>
      </c>
      <c r="AC120" s="310" t="e">
        <f t="shared" ca="1" si="54"/>
        <v>#N/A</v>
      </c>
      <c r="AD120" s="323" t="e">
        <f t="shared" ca="1" si="55"/>
        <v>#N/A</v>
      </c>
      <c r="AE120" s="324">
        <f t="shared" ca="1" si="34"/>
        <v>708.73852210443295</v>
      </c>
      <c r="AG120" s="306">
        <f t="shared" ca="1" si="56"/>
        <v>-35.345765260843187</v>
      </c>
      <c r="AH120" s="304">
        <f t="shared" ca="1" si="57"/>
        <v>-25.786388074490219</v>
      </c>
    </row>
    <row r="121" spans="1:34" x14ac:dyDescent="0.2">
      <c r="A121" s="347">
        <f t="shared" ca="1" si="35"/>
        <v>0.01</v>
      </c>
      <c r="B121" s="304">
        <f t="shared" ca="1" si="36"/>
        <v>4.3699999999999752</v>
      </c>
      <c r="D121" s="306">
        <f t="shared" ca="1" si="37"/>
        <v>-5.7709493790133637</v>
      </c>
      <c r="E121" s="307">
        <f t="shared" ca="1" si="38"/>
        <v>-34.834601688724582</v>
      </c>
      <c r="F121" s="304">
        <f t="shared" ca="1" si="39"/>
        <v>35.309394380918349</v>
      </c>
      <c r="G121" s="306">
        <f t="shared" ca="1" si="40"/>
        <v>40.604130339396661</v>
      </c>
      <c r="H121" s="307">
        <f t="shared" ca="1" si="41"/>
        <v>175.97382888497964</v>
      </c>
      <c r="I121" s="304">
        <f t="shared" ca="1" si="42"/>
        <v>180.59757432772679</v>
      </c>
      <c r="J121" s="306">
        <f t="shared" ca="1" si="43"/>
        <v>148.2742262640173</v>
      </c>
      <c r="K121" s="307">
        <f t="shared" ca="1" si="44"/>
        <v>710.50000212336715</v>
      </c>
      <c r="L121" s="304">
        <f t="shared" ca="1" si="29"/>
        <v>725.80679191607032</v>
      </c>
      <c r="M121" s="306">
        <f t="shared" ca="1" si="45"/>
        <v>1.3440256144645548</v>
      </c>
      <c r="N121" s="304">
        <f t="shared" ca="1" si="46"/>
        <v>77.006995266296116</v>
      </c>
      <c r="P121" s="310">
        <f t="shared" ca="1" si="47"/>
        <v>13</v>
      </c>
      <c r="Q121" s="304">
        <f t="shared" ca="1" si="48"/>
        <v>0</v>
      </c>
      <c r="R121" s="306">
        <f t="shared" ca="1" si="49"/>
        <v>0</v>
      </c>
      <c r="S121" s="307">
        <f t="shared" ca="1" si="50"/>
        <v>2.9792999999999985</v>
      </c>
      <c r="T121" s="304">
        <f t="shared" ca="1" si="30"/>
        <v>29.226932999999988</v>
      </c>
      <c r="U121" s="311">
        <f t="shared" ca="1" si="31"/>
        <v>0</v>
      </c>
      <c r="V121" s="306">
        <f t="shared" ca="1" si="32"/>
        <v>1.1409496388293967</v>
      </c>
      <c r="W121" s="304">
        <f t="shared" ca="1" si="33"/>
        <v>76.201438584553415</v>
      </c>
      <c r="Y121" s="314" t="str">
        <f t="shared" ca="1" si="51"/>
        <v/>
      </c>
      <c r="Z121" s="315" t="str">
        <f t="shared" ca="1" si="52"/>
        <v/>
      </c>
      <c r="AA121" s="316" t="str">
        <f t="shared" ca="1" si="53"/>
        <v/>
      </c>
      <c r="AC121" s="310" t="e">
        <f t="shared" ca="1" si="54"/>
        <v>#N/A</v>
      </c>
      <c r="AD121" s="323" t="e">
        <f t="shared" ca="1" si="55"/>
        <v>#N/A</v>
      </c>
      <c r="AE121" s="324">
        <f t="shared" ca="1" si="34"/>
        <v>710.50000212336715</v>
      </c>
      <c r="AG121" s="306">
        <f t="shared" ca="1" si="56"/>
        <v>-35.240513523512412</v>
      </c>
      <c r="AH121" s="304">
        <f t="shared" ca="1" si="57"/>
        <v>-25.681404681489912</v>
      </c>
    </row>
    <row r="122" spans="1:34" x14ac:dyDescent="0.2">
      <c r="A122" s="347">
        <f t="shared" ca="1" si="35"/>
        <v>0.01</v>
      </c>
      <c r="B122" s="304">
        <f t="shared" ca="1" si="36"/>
        <v>4.379999999999975</v>
      </c>
      <c r="D122" s="306">
        <f t="shared" ca="1" si="37"/>
        <v>-5.7505215336817601</v>
      </c>
      <c r="E122" s="307">
        <f t="shared" ca="1" si="38"/>
        <v>-34.732126983363962</v>
      </c>
      <c r="F122" s="304">
        <f t="shared" ca="1" si="39"/>
        <v>35.204959063999162</v>
      </c>
      <c r="G122" s="306">
        <f t="shared" ca="1" si="40"/>
        <v>40.546625124059844</v>
      </c>
      <c r="H122" s="307">
        <f t="shared" ca="1" si="41"/>
        <v>175.62650761514601</v>
      </c>
      <c r="I122" s="304">
        <f t="shared" ca="1" si="42"/>
        <v>180.24621767472397</v>
      </c>
      <c r="J122" s="306">
        <f t="shared" ca="1" si="43"/>
        <v>148.67998004133457</v>
      </c>
      <c r="K122" s="307">
        <f t="shared" ca="1" si="44"/>
        <v>712.25800380586782</v>
      </c>
      <c r="L122" s="304">
        <f t="shared" ca="1" si="29"/>
        <v>727.61061045768929</v>
      </c>
      <c r="M122" s="306">
        <f t="shared" ca="1" si="45"/>
        <v>1.3439032483560909</v>
      </c>
      <c r="N122" s="304">
        <f t="shared" ca="1" si="46"/>
        <v>76.999984204725692</v>
      </c>
      <c r="P122" s="310">
        <f t="shared" ca="1" si="47"/>
        <v>13</v>
      </c>
      <c r="Q122" s="304">
        <f t="shared" ca="1" si="48"/>
        <v>0</v>
      </c>
      <c r="R122" s="306">
        <f t="shared" ca="1" si="49"/>
        <v>0</v>
      </c>
      <c r="S122" s="307">
        <f t="shared" ca="1" si="50"/>
        <v>2.9792999999999985</v>
      </c>
      <c r="T122" s="304">
        <f t="shared" ca="1" si="30"/>
        <v>29.226932999999988</v>
      </c>
      <c r="U122" s="311">
        <f t="shared" ca="1" si="31"/>
        <v>0</v>
      </c>
      <c r="V122" s="306">
        <f t="shared" ca="1" si="32"/>
        <v>1.1407488232811831</v>
      </c>
      <c r="W122" s="304">
        <f t="shared" ca="1" si="33"/>
        <v>75.89186389847103</v>
      </c>
      <c r="Y122" s="314" t="str">
        <f t="shared" ca="1" si="51"/>
        <v/>
      </c>
      <c r="Z122" s="315" t="str">
        <f t="shared" ca="1" si="52"/>
        <v/>
      </c>
      <c r="AA122" s="316" t="str">
        <f t="shared" ca="1" si="53"/>
        <v/>
      </c>
      <c r="AC122" s="310" t="e">
        <f t="shared" ca="1" si="54"/>
        <v>#N/A</v>
      </c>
      <c r="AD122" s="323" t="e">
        <f t="shared" ca="1" si="55"/>
        <v>#N/A</v>
      </c>
      <c r="AE122" s="324">
        <f t="shared" ca="1" si="34"/>
        <v>712.25800380586782</v>
      </c>
      <c r="AG122" s="306">
        <f t="shared" ca="1" si="56"/>
        <v>-35.135800245799821</v>
      </c>
      <c r="AH122" s="304">
        <f t="shared" ca="1" si="57"/>
        <v>-25.576960556021028</v>
      </c>
    </row>
    <row r="123" spans="1:34" x14ac:dyDescent="0.2">
      <c r="A123" s="347">
        <f t="shared" ca="1" si="35"/>
        <v>0.01</v>
      </c>
      <c r="B123" s="304">
        <f t="shared" ca="1" si="36"/>
        <v>4.3899999999999748</v>
      </c>
      <c r="D123" s="306">
        <f t="shared" ca="1" si="37"/>
        <v>-5.7301967528246944</v>
      </c>
      <c r="E123" s="307">
        <f t="shared" ca="1" si="38"/>
        <v>-34.630177772306915</v>
      </c>
      <c r="F123" s="304">
        <f t="shared" ca="1" si="39"/>
        <v>35.101059348225697</v>
      </c>
      <c r="G123" s="306">
        <f t="shared" ca="1" si="40"/>
        <v>40.489323156531597</v>
      </c>
      <c r="H123" s="307">
        <f t="shared" ca="1" si="41"/>
        <v>175.28020583742295</v>
      </c>
      <c r="I123" s="304">
        <f t="shared" ca="1" si="42"/>
        <v>179.8959028107183</v>
      </c>
      <c r="J123" s="306">
        <f t="shared" ca="1" si="43"/>
        <v>149.08515978273752</v>
      </c>
      <c r="K123" s="307">
        <f t="shared" ca="1" si="44"/>
        <v>714.01253737313061</v>
      </c>
      <c r="L123" s="304">
        <f t="shared" ca="1" si="29"/>
        <v>729.41091875119378</v>
      </c>
      <c r="M123" s="306">
        <f t="shared" ca="1" si="45"/>
        <v>1.3437805789428763</v>
      </c>
      <c r="N123" s="304">
        <f t="shared" ca="1" si="46"/>
        <v>76.992955765073148</v>
      </c>
      <c r="P123" s="310">
        <f t="shared" ca="1" si="47"/>
        <v>13</v>
      </c>
      <c r="Q123" s="304">
        <f t="shared" ca="1" si="48"/>
        <v>0</v>
      </c>
      <c r="R123" s="306">
        <f t="shared" ca="1" si="49"/>
        <v>0</v>
      </c>
      <c r="S123" s="307">
        <f t="shared" ca="1" si="50"/>
        <v>2.9792999999999985</v>
      </c>
      <c r="T123" s="304">
        <f t="shared" ca="1" si="30"/>
        <v>29.226932999999988</v>
      </c>
      <c r="U123" s="311">
        <f t="shared" ca="1" si="31"/>
        <v>0</v>
      </c>
      <c r="V123" s="306">
        <f t="shared" ca="1" si="32"/>
        <v>1.1405484378795296</v>
      </c>
      <c r="W123" s="304">
        <f t="shared" ca="1" si="33"/>
        <v>75.58387406024525</v>
      </c>
      <c r="Y123" s="314" t="str">
        <f t="shared" ca="1" si="51"/>
        <v/>
      </c>
      <c r="Z123" s="315" t="str">
        <f t="shared" ca="1" si="52"/>
        <v/>
      </c>
      <c r="AA123" s="316" t="str">
        <f t="shared" ca="1" si="53"/>
        <v/>
      </c>
      <c r="AC123" s="310" t="e">
        <f t="shared" ca="1" si="54"/>
        <v>#N/A</v>
      </c>
      <c r="AD123" s="323" t="e">
        <f t="shared" ca="1" si="55"/>
        <v>#N/A</v>
      </c>
      <c r="AE123" s="324">
        <f t="shared" ca="1" si="34"/>
        <v>714.01253737313061</v>
      </c>
      <c r="AG123" s="306">
        <f t="shared" ca="1" si="56"/>
        <v>-35.031621752311914</v>
      </c>
      <c r="AH123" s="304">
        <f t="shared" ca="1" si="57"/>
        <v>-25.473052025130421</v>
      </c>
    </row>
    <row r="124" spans="1:34" x14ac:dyDescent="0.2">
      <c r="A124" s="347">
        <f t="shared" ca="1" si="35"/>
        <v>0.01</v>
      </c>
      <c r="B124" s="304">
        <f t="shared" ca="1" si="36"/>
        <v>4.3999999999999746</v>
      </c>
      <c r="D124" s="306">
        <f t="shared" ca="1" si="37"/>
        <v>-5.7099743324575165</v>
      </c>
      <c r="E124" s="307">
        <f t="shared" ca="1" si="38"/>
        <v>-34.52875048269614</v>
      </c>
      <c r="F124" s="304">
        <f t="shared" ca="1" si="39"/>
        <v>34.997691592069508</v>
      </c>
      <c r="G124" s="306">
        <f t="shared" ca="1" si="40"/>
        <v>40.432223413207019</v>
      </c>
      <c r="H124" s="307">
        <f t="shared" ca="1" si="41"/>
        <v>174.934918332596</v>
      </c>
      <c r="I124" s="304">
        <f t="shared" ca="1" si="42"/>
        <v>179.54662442431913</v>
      </c>
      <c r="J124" s="306">
        <f t="shared" ca="1" si="43"/>
        <v>149.48976751558621</v>
      </c>
      <c r="K124" s="307">
        <f t="shared" ca="1" si="44"/>
        <v>715.7636129939807</v>
      </c>
      <c r="L124" s="304">
        <f t="shared" ca="1" si="29"/>
        <v>731.20772717338059</v>
      </c>
      <c r="M124" s="306">
        <f t="shared" ca="1" si="45"/>
        <v>1.3436576055916147</v>
      </c>
      <c r="N124" s="304">
        <f t="shared" ca="1" si="46"/>
        <v>76.985909911053284</v>
      </c>
      <c r="P124" s="310">
        <f t="shared" ca="1" si="47"/>
        <v>13</v>
      </c>
      <c r="Q124" s="304">
        <f t="shared" ca="1" si="48"/>
        <v>0</v>
      </c>
      <c r="R124" s="306">
        <f t="shared" ca="1" si="49"/>
        <v>0</v>
      </c>
      <c r="S124" s="307">
        <f t="shared" ca="1" si="50"/>
        <v>2.9792999999999985</v>
      </c>
      <c r="T124" s="304">
        <f t="shared" ca="1" si="30"/>
        <v>29.226932999999988</v>
      </c>
      <c r="U124" s="311">
        <f t="shared" ca="1" si="31"/>
        <v>0</v>
      </c>
      <c r="V124" s="306">
        <f t="shared" ca="1" si="32"/>
        <v>1.1403484812534117</v>
      </c>
      <c r="W124" s="304">
        <f t="shared" ca="1" si="33"/>
        <v>75.277458313599439</v>
      </c>
      <c r="Y124" s="314" t="str">
        <f t="shared" ca="1" si="51"/>
        <v/>
      </c>
      <c r="Z124" s="315" t="str">
        <f t="shared" ca="1" si="52"/>
        <v/>
      </c>
      <c r="AA124" s="316" t="str">
        <f t="shared" ca="1" si="53"/>
        <v/>
      </c>
      <c r="AC124" s="310" t="e">
        <f t="shared" ca="1" si="54"/>
        <v>#N/A</v>
      </c>
      <c r="AD124" s="323" t="e">
        <f t="shared" ca="1" si="55"/>
        <v>#N/A</v>
      </c>
      <c r="AE124" s="324">
        <f t="shared" ca="1" si="34"/>
        <v>715.7636129939807</v>
      </c>
      <c r="AG124" s="306">
        <f t="shared" ca="1" si="56"/>
        <v>-34.927974399114561</v>
      </c>
      <c r="AH124" s="304">
        <f t="shared" ca="1" si="57"/>
        <v>-25.369675447335041</v>
      </c>
    </row>
    <row r="125" spans="1:34" x14ac:dyDescent="0.2">
      <c r="A125" s="347">
        <f t="shared" ca="1" si="35"/>
        <v>0.01</v>
      </c>
      <c r="B125" s="304">
        <f t="shared" ca="1" si="36"/>
        <v>4.4099999999999744</v>
      </c>
      <c r="D125" s="306">
        <f t="shared" ca="1" si="37"/>
        <v>-5.6898535746136822</v>
      </c>
      <c r="E125" s="307">
        <f t="shared" ca="1" si="38"/>
        <v>-34.427841572233326</v>
      </c>
      <c r="F125" s="304">
        <f t="shared" ca="1" si="39"/>
        <v>34.894852185148189</v>
      </c>
      <c r="G125" s="306">
        <f t="shared" ca="1" si="40"/>
        <v>40.375324877460883</v>
      </c>
      <c r="H125" s="307">
        <f t="shared" ca="1" si="41"/>
        <v>174.59063991687367</v>
      </c>
      <c r="I125" s="304">
        <f t="shared" ca="1" si="42"/>
        <v>179.19837724026397</v>
      </c>
      <c r="J125" s="306">
        <f t="shared" ca="1" si="43"/>
        <v>149.89380525703956</v>
      </c>
      <c r="K125" s="307">
        <f t="shared" ca="1" si="44"/>
        <v>717.5112407852281</v>
      </c>
      <c r="L125" s="304">
        <f t="shared" ca="1" si="29"/>
        <v>733.00104604808917</v>
      </c>
      <c r="M125" s="306">
        <f t="shared" ca="1" si="45"/>
        <v>1.3435343276666289</v>
      </c>
      <c r="N125" s="304">
        <f t="shared" ca="1" si="46"/>
        <v>76.978846606244474</v>
      </c>
      <c r="P125" s="310">
        <f t="shared" ca="1" si="47"/>
        <v>13</v>
      </c>
      <c r="Q125" s="304">
        <f t="shared" ca="1" si="48"/>
        <v>0</v>
      </c>
      <c r="R125" s="306">
        <f t="shared" ca="1" si="49"/>
        <v>0</v>
      </c>
      <c r="S125" s="307">
        <f t="shared" ca="1" si="50"/>
        <v>2.9792999999999985</v>
      </c>
      <c r="T125" s="304">
        <f t="shared" ca="1" si="30"/>
        <v>29.226932999999988</v>
      </c>
      <c r="U125" s="311">
        <f t="shared" ca="1" si="31"/>
        <v>0</v>
      </c>
      <c r="V125" s="306">
        <f t="shared" ca="1" si="32"/>
        <v>1.1401489520390298</v>
      </c>
      <c r="W125" s="304">
        <f t="shared" ca="1" si="33"/>
        <v>74.972605994097606</v>
      </c>
      <c r="Y125" s="314" t="str">
        <f t="shared" ca="1" si="51"/>
        <v/>
      </c>
      <c r="Z125" s="315" t="str">
        <f t="shared" ca="1" si="52"/>
        <v/>
      </c>
      <c r="AA125" s="316" t="str">
        <f t="shared" ca="1" si="53"/>
        <v/>
      </c>
      <c r="AC125" s="310" t="e">
        <f t="shared" ca="1" si="54"/>
        <v>#N/A</v>
      </c>
      <c r="AD125" s="323" t="e">
        <f t="shared" ca="1" si="55"/>
        <v>#N/A</v>
      </c>
      <c r="AE125" s="324">
        <f t="shared" ca="1" si="34"/>
        <v>717.5112407852281</v>
      </c>
      <c r="AG125" s="306">
        <f t="shared" ca="1" si="56"/>
        <v>-34.824854573409034</v>
      </c>
      <c r="AH125" s="304">
        <f t="shared" ca="1" si="57"/>
        <v>-25.266827212298015</v>
      </c>
    </row>
    <row r="126" spans="1:34" x14ac:dyDescent="0.2">
      <c r="A126" s="347">
        <f t="shared" ca="1" si="35"/>
        <v>0.01</v>
      </c>
      <c r="B126" s="304">
        <f t="shared" ca="1" si="36"/>
        <v>4.4199999999999742</v>
      </c>
      <c r="D126" s="306">
        <f t="shared" ca="1" si="37"/>
        <v>-5.6698337872829221</v>
      </c>
      <c r="E126" s="307">
        <f t="shared" ca="1" si="38"/>
        <v>-34.327447528865285</v>
      </c>
      <c r="F126" s="304">
        <f t="shared" ca="1" si="39"/>
        <v>34.792537547905503</v>
      </c>
      <c r="G126" s="306">
        <f t="shared" ca="1" si="40"/>
        <v>40.318626539588053</v>
      </c>
      <c r="H126" s="307">
        <f t="shared" ca="1" si="41"/>
        <v>174.247365441585</v>
      </c>
      <c r="I126" s="304">
        <f t="shared" ca="1" si="42"/>
        <v>178.85115601911005</v>
      </c>
      <c r="J126" s="306">
        <f t="shared" ca="1" si="43"/>
        <v>150.29727501412481</v>
      </c>
      <c r="K126" s="307">
        <f t="shared" ca="1" si="44"/>
        <v>719.25543081202034</v>
      </c>
      <c r="L126" s="304">
        <f t="shared" ca="1" si="29"/>
        <v>734.79088564656024</v>
      </c>
      <c r="M126" s="306">
        <f t="shared" ca="1" si="45"/>
        <v>1.3434107445298509</v>
      </c>
      <c r="N126" s="304">
        <f t="shared" ca="1" si="46"/>
        <v>76.971765814088101</v>
      </c>
      <c r="P126" s="310">
        <f t="shared" ca="1" si="47"/>
        <v>13</v>
      </c>
      <c r="Q126" s="304">
        <f t="shared" ca="1" si="48"/>
        <v>0</v>
      </c>
      <c r="R126" s="306">
        <f t="shared" ca="1" si="49"/>
        <v>0</v>
      </c>
      <c r="S126" s="307">
        <f t="shared" ca="1" si="50"/>
        <v>2.9792999999999985</v>
      </c>
      <c r="T126" s="304">
        <f t="shared" ca="1" si="30"/>
        <v>29.226932999999988</v>
      </c>
      <c r="U126" s="311">
        <f t="shared" ca="1" si="31"/>
        <v>0</v>
      </c>
      <c r="V126" s="306">
        <f t="shared" ca="1" si="32"/>
        <v>1.1399498488797586</v>
      </c>
      <c r="W126" s="304">
        <f t="shared" ca="1" si="33"/>
        <v>74.669306528202057</v>
      </c>
      <c r="Y126" s="314" t="str">
        <f t="shared" ca="1" si="51"/>
        <v/>
      </c>
      <c r="Z126" s="315" t="str">
        <f t="shared" ca="1" si="52"/>
        <v/>
      </c>
      <c r="AA126" s="316" t="str">
        <f t="shared" ca="1" si="53"/>
        <v/>
      </c>
      <c r="AC126" s="310" t="e">
        <f t="shared" ca="1" si="54"/>
        <v>#N/A</v>
      </c>
      <c r="AD126" s="323" t="e">
        <f t="shared" ca="1" si="55"/>
        <v>#N/A</v>
      </c>
      <c r="AE126" s="324">
        <f t="shared" ca="1" si="34"/>
        <v>719.25543081202034</v>
      </c>
      <c r="AG126" s="306">
        <f t="shared" ca="1" si="56"/>
        <v>-34.722258693212041</v>
      </c>
      <c r="AH126" s="304">
        <f t="shared" ca="1" si="57"/>
        <v>-25.164503740508724</v>
      </c>
    </row>
    <row r="127" spans="1:34" x14ac:dyDescent="0.2">
      <c r="A127" s="347">
        <f t="shared" ca="1" si="35"/>
        <v>0.01</v>
      </c>
      <c r="B127" s="304">
        <f t="shared" ca="1" si="36"/>
        <v>4.429999999999974</v>
      </c>
      <c r="D127" s="306">
        <f t="shared" ca="1" si="37"/>
        <v>-5.6499142843501451</v>
      </c>
      <c r="E127" s="307">
        <f t="shared" ca="1" si="38"/>
        <v>-34.227564870473621</v>
      </c>
      <c r="F127" s="304">
        <f t="shared" ca="1" si="39"/>
        <v>34.690744131295077</v>
      </c>
      <c r="G127" s="306">
        <f t="shared" ca="1" si="40"/>
        <v>40.262127396744553</v>
      </c>
      <c r="H127" s="307">
        <f t="shared" ca="1" si="41"/>
        <v>173.90508979288026</v>
      </c>
      <c r="I127" s="304">
        <f t="shared" ca="1" si="42"/>
        <v>178.50495555692967</v>
      </c>
      <c r="J127" s="306">
        <f t="shared" ca="1" si="43"/>
        <v>150.70017878380648</v>
      </c>
      <c r="K127" s="307">
        <f t="shared" ca="1" si="44"/>
        <v>720.99619308819263</v>
      </c>
      <c r="L127" s="304">
        <f t="shared" ca="1" si="29"/>
        <v>736.57725618779295</v>
      </c>
      <c r="M127" s="306">
        <f t="shared" ca="1" si="45"/>
        <v>1.3432868555408137</v>
      </c>
      <c r="N127" s="304">
        <f t="shared" ca="1" si="46"/>
        <v>76.964667497888129</v>
      </c>
      <c r="P127" s="310">
        <f t="shared" ca="1" si="47"/>
        <v>13</v>
      </c>
      <c r="Q127" s="304">
        <f t="shared" ca="1" si="48"/>
        <v>0</v>
      </c>
      <c r="R127" s="306">
        <f t="shared" ca="1" si="49"/>
        <v>0</v>
      </c>
      <c r="S127" s="307">
        <f t="shared" ca="1" si="50"/>
        <v>2.9792999999999985</v>
      </c>
      <c r="T127" s="304">
        <f t="shared" ca="1" si="30"/>
        <v>29.226932999999988</v>
      </c>
      <c r="U127" s="311">
        <f t="shared" ca="1" si="31"/>
        <v>0</v>
      </c>
      <c r="V127" s="306">
        <f t="shared" ca="1" si="32"/>
        <v>1.1397511704260972</v>
      </c>
      <c r="W127" s="304">
        <f t="shared" ca="1" si="33"/>
        <v>74.367549432342997</v>
      </c>
      <c r="Y127" s="314" t="str">
        <f t="shared" ca="1" si="51"/>
        <v/>
      </c>
      <c r="Z127" s="315" t="str">
        <f t="shared" ca="1" si="52"/>
        <v/>
      </c>
      <c r="AA127" s="316" t="str">
        <f t="shared" ca="1" si="53"/>
        <v/>
      </c>
      <c r="AC127" s="310" t="e">
        <f t="shared" ca="1" si="54"/>
        <v>#N/A</v>
      </c>
      <c r="AD127" s="323" t="e">
        <f t="shared" ca="1" si="55"/>
        <v>#N/A</v>
      </c>
      <c r="AE127" s="324">
        <f t="shared" ca="1" si="34"/>
        <v>720.99619308819263</v>
      </c>
      <c r="AG127" s="306">
        <f t="shared" ca="1" si="56"/>
        <v>-34.620183207039368</v>
      </c>
      <c r="AH127" s="304">
        <f t="shared" ca="1" si="57"/>
        <v>-25.062701482966499</v>
      </c>
    </row>
    <row r="128" spans="1:34" x14ac:dyDescent="0.2">
      <c r="A128" s="347">
        <f t="shared" ca="1" si="35"/>
        <v>0.01</v>
      </c>
      <c r="B128" s="304">
        <f t="shared" ca="1" si="36"/>
        <v>4.4399999999999737</v>
      </c>
      <c r="D128" s="306">
        <f t="shared" ca="1" si="37"/>
        <v>-5.630094385535064</v>
      </c>
      <c r="E128" s="307">
        <f t="shared" ca="1" si="38"/>
        <v>-34.1281901445683</v>
      </c>
      <c r="F128" s="304">
        <f t="shared" ca="1" si="39"/>
        <v>34.589468416468073</v>
      </c>
      <c r="G128" s="306">
        <f t="shared" ca="1" si="40"/>
        <v>40.205826452889205</v>
      </c>
      <c r="H128" s="307">
        <f t="shared" ca="1" si="41"/>
        <v>173.56380789143458</v>
      </c>
      <c r="I128" s="304">
        <f t="shared" ca="1" si="42"/>
        <v>178.15977068500806</v>
      </c>
      <c r="J128" s="306">
        <f t="shared" ca="1" si="43"/>
        <v>151.10251855305464</v>
      </c>
      <c r="K128" s="307">
        <f t="shared" ca="1" si="44"/>
        <v>722.73353757661425</v>
      </c>
      <c r="L128" s="304">
        <f t="shared" ca="1" si="29"/>
        <v>738.36016783889659</v>
      </c>
      <c r="M128" s="306">
        <f t="shared" ca="1" si="45"/>
        <v>1.343162660056642</v>
      </c>
      <c r="N128" s="304">
        <f t="shared" ca="1" si="46"/>
        <v>76.957551620810506</v>
      </c>
      <c r="P128" s="310">
        <f t="shared" ca="1" si="47"/>
        <v>13</v>
      </c>
      <c r="Q128" s="304">
        <f t="shared" ca="1" si="48"/>
        <v>0</v>
      </c>
      <c r="R128" s="306">
        <f t="shared" ca="1" si="49"/>
        <v>0</v>
      </c>
      <c r="S128" s="307">
        <f t="shared" ca="1" si="50"/>
        <v>2.9792999999999985</v>
      </c>
      <c r="T128" s="304">
        <f t="shared" ca="1" si="30"/>
        <v>29.226932999999988</v>
      </c>
      <c r="U128" s="311">
        <f t="shared" ca="1" si="31"/>
        <v>0</v>
      </c>
      <c r="V128" s="306">
        <f t="shared" ca="1" si="32"/>
        <v>1.1395529153356199</v>
      </c>
      <c r="W128" s="304">
        <f t="shared" ca="1" si="33"/>
        <v>74.067324311998604</v>
      </c>
      <c r="Y128" s="314" t="str">
        <f t="shared" ca="1" si="51"/>
        <v/>
      </c>
      <c r="Z128" s="315" t="str">
        <f t="shared" ca="1" si="52"/>
        <v/>
      </c>
      <c r="AA128" s="316" t="str">
        <f t="shared" ca="1" si="53"/>
        <v/>
      </c>
      <c r="AC128" s="310" t="e">
        <f t="shared" ca="1" si="54"/>
        <v>#N/A</v>
      </c>
      <c r="AD128" s="323" t="e">
        <f t="shared" ca="1" si="55"/>
        <v>#N/A</v>
      </c>
      <c r="AE128" s="324">
        <f t="shared" ca="1" si="34"/>
        <v>722.73353757661425</v>
      </c>
      <c r="AG128" s="306">
        <f t="shared" ca="1" si="56"/>
        <v>-34.518624593593515</v>
      </c>
      <c r="AH128" s="304">
        <f t="shared" ca="1" si="57"/>
        <v>-24.961416920868338</v>
      </c>
    </row>
    <row r="129" spans="1:34" x14ac:dyDescent="0.2">
      <c r="A129" s="347">
        <f t="shared" ca="1" si="35"/>
        <v>0.01</v>
      </c>
      <c r="B129" s="304">
        <f t="shared" ca="1" si="36"/>
        <v>4.4499999999999735</v>
      </c>
      <c r="D129" s="306">
        <f t="shared" ca="1" si="37"/>
        <v>-5.6103734163325516</v>
      </c>
      <c r="E129" s="307">
        <f t="shared" ca="1" si="38"/>
        <v>-34.029319927984716</v>
      </c>
      <c r="F129" s="304">
        <f t="shared" ca="1" si="39"/>
        <v>34.488706914464458</v>
      </c>
      <c r="G129" s="306">
        <f t="shared" ca="1" si="40"/>
        <v>40.149722718725883</v>
      </c>
      <c r="H129" s="307">
        <f t="shared" ca="1" si="41"/>
        <v>173.22351469215474</v>
      </c>
      <c r="I129" s="304">
        <f t="shared" ca="1" si="42"/>
        <v>177.8155962695447</v>
      </c>
      <c r="J129" s="306">
        <f t="shared" ca="1" si="43"/>
        <v>151.50429629891272</v>
      </c>
      <c r="K129" s="307">
        <f t="shared" ca="1" si="44"/>
        <v>724.46747418953225</v>
      </c>
      <c r="L129" s="304">
        <f t="shared" ca="1" si="29"/>
        <v>740.13963071544094</v>
      </c>
      <c r="M129" s="306">
        <f t="shared" ca="1" si="45"/>
        <v>1.3430381574320434</v>
      </c>
      <c r="N129" s="304">
        <f t="shared" ca="1" si="46"/>
        <v>76.950418145882708</v>
      </c>
      <c r="P129" s="310">
        <f t="shared" ca="1" si="47"/>
        <v>13</v>
      </c>
      <c r="Q129" s="304">
        <f t="shared" ca="1" si="48"/>
        <v>0</v>
      </c>
      <c r="R129" s="306">
        <f t="shared" ca="1" si="49"/>
        <v>0</v>
      </c>
      <c r="S129" s="307">
        <f t="shared" ca="1" si="50"/>
        <v>2.9792999999999985</v>
      </c>
      <c r="T129" s="304">
        <f t="shared" ca="1" si="30"/>
        <v>29.226932999999988</v>
      </c>
      <c r="U129" s="311">
        <f t="shared" ca="1" si="31"/>
        <v>0</v>
      </c>
      <c r="V129" s="306">
        <f t="shared" ca="1" si="32"/>
        <v>1.1393550822729275</v>
      </c>
      <c r="W129" s="304">
        <f t="shared" ca="1" si="33"/>
        <v>73.768620860786754</v>
      </c>
      <c r="Y129" s="314" t="str">
        <f t="shared" ca="1" si="51"/>
        <v/>
      </c>
      <c r="Z129" s="315" t="str">
        <f t="shared" ca="1" si="52"/>
        <v/>
      </c>
      <c r="AA129" s="316" t="str">
        <f t="shared" ca="1" si="53"/>
        <v/>
      </c>
      <c r="AC129" s="310" t="e">
        <f t="shared" ca="1" si="54"/>
        <v>#N/A</v>
      </c>
      <c r="AD129" s="323" t="e">
        <f t="shared" ca="1" si="55"/>
        <v>#N/A</v>
      </c>
      <c r="AE129" s="324">
        <f t="shared" ca="1" si="34"/>
        <v>724.46747418953225</v>
      </c>
      <c r="AG129" s="306">
        <f t="shared" ca="1" si="56"/>
        <v>-34.417579361454926</v>
      </c>
      <c r="AH129" s="304">
        <f t="shared" ca="1" si="57"/>
        <v>-24.860646565300119</v>
      </c>
    </row>
    <row r="130" spans="1:34" x14ac:dyDescent="0.2">
      <c r="A130" s="347">
        <f t="shared" ca="1" si="35"/>
        <v>0.01</v>
      </c>
      <c r="B130" s="304">
        <f t="shared" ca="1" si="36"/>
        <v>4.4599999999999733</v>
      </c>
      <c r="D130" s="306">
        <f t="shared" ca="1" si="37"/>
        <v>-5.5907507079537053</v>
      </c>
      <c r="E130" s="307">
        <f t="shared" ca="1" si="38"/>
        <v>-33.930950826584585</v>
      </c>
      <c r="F130" s="304">
        <f t="shared" ca="1" si="39"/>
        <v>34.388456165908146</v>
      </c>
      <c r="G130" s="306">
        <f t="shared" ca="1" si="40"/>
        <v>40.093815211646344</v>
      </c>
      <c r="H130" s="307">
        <f t="shared" ca="1" si="41"/>
        <v>172.88420518388889</v>
      </c>
      <c r="I130" s="304">
        <f t="shared" ca="1" si="42"/>
        <v>177.47242721135765</v>
      </c>
      <c r="J130" s="306">
        <f t="shared" ca="1" si="43"/>
        <v>151.90551398856459</v>
      </c>
      <c r="K130" s="307">
        <f t="shared" ca="1" si="44"/>
        <v>726.19801278891248</v>
      </c>
      <c r="L130" s="304">
        <f t="shared" ca="1" si="29"/>
        <v>741.91565488180356</v>
      </c>
      <c r="M130" s="306">
        <f t="shared" ca="1" si="45"/>
        <v>1.3429133470192991</v>
      </c>
      <c r="N130" s="304">
        <f t="shared" ca="1" si="46"/>
        <v>76.943267035993173</v>
      </c>
      <c r="P130" s="310">
        <f t="shared" ca="1" si="47"/>
        <v>13</v>
      </c>
      <c r="Q130" s="304">
        <f t="shared" ca="1" si="48"/>
        <v>0</v>
      </c>
      <c r="R130" s="306">
        <f t="shared" ca="1" si="49"/>
        <v>0</v>
      </c>
      <c r="S130" s="307">
        <f t="shared" ca="1" si="50"/>
        <v>2.9792999999999985</v>
      </c>
      <c r="T130" s="304">
        <f t="shared" ca="1" si="30"/>
        <v>29.226932999999988</v>
      </c>
      <c r="U130" s="311">
        <f t="shared" ca="1" si="31"/>
        <v>0</v>
      </c>
      <c r="V130" s="306">
        <f t="shared" ca="1" si="32"/>
        <v>1.1391576699095993</v>
      </c>
      <c r="W130" s="304">
        <f t="shared" ca="1" si="33"/>
        <v>73.471428859566998</v>
      </c>
      <c r="Y130" s="314" t="str">
        <f t="shared" ca="1" si="51"/>
        <v/>
      </c>
      <c r="Z130" s="315" t="str">
        <f t="shared" ca="1" si="52"/>
        <v/>
      </c>
      <c r="AA130" s="316" t="str">
        <f t="shared" ca="1" si="53"/>
        <v/>
      </c>
      <c r="AC130" s="310" t="e">
        <f t="shared" ca="1" si="54"/>
        <v>#N/A</v>
      </c>
      <c r="AD130" s="323" t="e">
        <f t="shared" ca="1" si="55"/>
        <v>#N/A</v>
      </c>
      <c r="AE130" s="324">
        <f t="shared" ca="1" si="34"/>
        <v>726.19801278891248</v>
      </c>
      <c r="AG130" s="306">
        <f t="shared" ca="1" si="56"/>
        <v>-34.317044048777021</v>
      </c>
      <c r="AH130" s="304">
        <f t="shared" ca="1" si="57"/>
        <v>-24.760386956931761</v>
      </c>
    </row>
    <row r="131" spans="1:34" x14ac:dyDescent="0.2">
      <c r="A131" s="347">
        <f t="shared" ca="1" si="35"/>
        <v>0.01</v>
      </c>
      <c r="B131" s="304">
        <f t="shared" ca="1" si="36"/>
        <v>4.4699999999999731</v>
      </c>
      <c r="D131" s="306">
        <f t="shared" ca="1" si="37"/>
        <v>-5.5712255972676106</v>
      </c>
      <c r="E131" s="307">
        <f t="shared" ca="1" si="38"/>
        <v>-33.833079474960179</v>
      </c>
      <c r="F131" s="304">
        <f t="shared" ca="1" si="39"/>
        <v>34.288712740705527</v>
      </c>
      <c r="G131" s="306">
        <f t="shared" ca="1" si="40"/>
        <v>40.038102955673665</v>
      </c>
      <c r="H131" s="307">
        <f t="shared" ca="1" si="41"/>
        <v>172.5458743891393</v>
      </c>
      <c r="I131" s="304">
        <f t="shared" ca="1" si="42"/>
        <v>177.1302584455907</v>
      </c>
      <c r="J131" s="306">
        <f t="shared" ca="1" si="43"/>
        <v>152.30617357940119</v>
      </c>
      <c r="K131" s="307">
        <f t="shared" ca="1" si="44"/>
        <v>727.92516318677758</v>
      </c>
      <c r="L131" s="304">
        <f t="shared" ca="1" si="29"/>
        <v>743.6882503515136</v>
      </c>
      <c r="M131" s="306">
        <f t="shared" ca="1" si="45"/>
        <v>1.3427882281682548</v>
      </c>
      <c r="N131" s="304">
        <f t="shared" ca="1" si="46"/>
        <v>76.936098253890805</v>
      </c>
      <c r="P131" s="310">
        <f t="shared" ca="1" si="47"/>
        <v>13</v>
      </c>
      <c r="Q131" s="304">
        <f t="shared" ca="1" si="48"/>
        <v>0</v>
      </c>
      <c r="R131" s="306">
        <f t="shared" ca="1" si="49"/>
        <v>0</v>
      </c>
      <c r="S131" s="307">
        <f t="shared" ca="1" si="50"/>
        <v>2.9792999999999985</v>
      </c>
      <c r="T131" s="304">
        <f t="shared" ca="1" si="30"/>
        <v>29.226932999999988</v>
      </c>
      <c r="U131" s="311">
        <f t="shared" ca="1" si="31"/>
        <v>0</v>
      </c>
      <c r="V131" s="306">
        <f t="shared" ca="1" si="32"/>
        <v>1.1389606769241436</v>
      </c>
      <c r="W131" s="304">
        <f t="shared" ca="1" si="33"/>
        <v>73.175738175553434</v>
      </c>
      <c r="Y131" s="314" t="str">
        <f t="shared" ca="1" si="51"/>
        <v/>
      </c>
      <c r="Z131" s="315" t="str">
        <f t="shared" ca="1" si="52"/>
        <v/>
      </c>
      <c r="AA131" s="316" t="str">
        <f t="shared" ca="1" si="53"/>
        <v/>
      </c>
      <c r="AC131" s="310" t="e">
        <f t="shared" ca="1" si="54"/>
        <v>#N/A</v>
      </c>
      <c r="AD131" s="323" t="e">
        <f t="shared" ca="1" si="55"/>
        <v>#N/A</v>
      </c>
      <c r="AE131" s="324">
        <f t="shared" ca="1" si="34"/>
        <v>727.92516318677758</v>
      </c>
      <c r="AG131" s="306">
        <f t="shared" ca="1" si="56"/>
        <v>-34.217015222984749</v>
      </c>
      <c r="AH131" s="304">
        <f t="shared" ca="1" si="57"/>
        <v>-24.660634665715783</v>
      </c>
    </row>
    <row r="132" spans="1:34" x14ac:dyDescent="0.2">
      <c r="A132" s="347">
        <f t="shared" ca="1" si="35"/>
        <v>0.01</v>
      </c>
      <c r="B132" s="304">
        <f t="shared" ca="1" si="36"/>
        <v>4.4799999999999729</v>
      </c>
      <c r="D132" s="306">
        <f t="shared" ca="1" si="37"/>
        <v>-5.5517974267438071</v>
      </c>
      <c r="E132" s="307">
        <f t="shared" ca="1" si="38"/>
        <v>-33.735702536142206</v>
      </c>
      <c r="F132" s="304">
        <f t="shared" ca="1" si="39"/>
        <v>34.189473237747769</v>
      </c>
      <c r="G132" s="306">
        <f t="shared" ca="1" si="40"/>
        <v>39.982584981406227</v>
      </c>
      <c r="H132" s="307">
        <f t="shared" ca="1" si="41"/>
        <v>172.20851736377787</v>
      </c>
      <c r="I132" s="304">
        <f t="shared" ca="1" si="42"/>
        <v>176.78908494142379</v>
      </c>
      <c r="J132" s="306">
        <f t="shared" ca="1" si="43"/>
        <v>152.7062770190866</v>
      </c>
      <c r="K132" s="307">
        <f t="shared" ca="1" si="44"/>
        <v>729.64893514554217</v>
      </c>
      <c r="L132" s="304">
        <f t="shared" ref="L132:L195" ca="1" si="58">SQRT(pos_x^2+pos_z^2)</f>
        <v>745.45742708759269</v>
      </c>
      <c r="M132" s="306">
        <f t="shared" ca="1" si="45"/>
        <v>1.3426628002263112</v>
      </c>
      <c r="N132" s="304">
        <f t="shared" ca="1" si="46"/>
        <v>76.928911762184427</v>
      </c>
      <c r="P132" s="310">
        <f t="shared" ca="1" si="47"/>
        <v>13</v>
      </c>
      <c r="Q132" s="304">
        <f t="shared" ca="1" si="48"/>
        <v>0</v>
      </c>
      <c r="R132" s="306">
        <f t="shared" ca="1" si="49"/>
        <v>0</v>
      </c>
      <c r="S132" s="307">
        <f t="shared" ca="1" si="50"/>
        <v>2.9792999999999985</v>
      </c>
      <c r="T132" s="304">
        <f t="shared" ref="T132:T195" ca="1" si="59">m*g</f>
        <v>29.226932999999988</v>
      </c>
      <c r="U132" s="311">
        <f t="shared" ref="U132:U195" ca="1" si="60">IF(pos_xz&lt;L_rampe,Poids*COS(Beta),0)</f>
        <v>0</v>
      </c>
      <c r="V132" s="306">
        <f t="shared" ref="V132:V195" ca="1" si="61">Rho_moyen*(20000-Alt_rampe-pos_z)/(20000+Alt_rampe+pos_z)</f>
        <v>1.138764102001951</v>
      </c>
      <c r="W132" s="304">
        <f t="shared" ref="W132:W195" ca="1" si="62">1/2*Rho*Sref*Cx*vit_xz^2</f>
        <v>72.881538761438293</v>
      </c>
      <c r="Y132" s="314" t="str">
        <f t="shared" ca="1" si="51"/>
        <v/>
      </c>
      <c r="Z132" s="315" t="str">
        <f t="shared" ca="1" si="52"/>
        <v/>
      </c>
      <c r="AA132" s="316" t="str">
        <f t="shared" ca="1" si="53"/>
        <v/>
      </c>
      <c r="AC132" s="310" t="e">
        <f t="shared" ca="1" si="54"/>
        <v>#N/A</v>
      </c>
      <c r="AD132" s="323" t="e">
        <f t="shared" ca="1" si="55"/>
        <v>#N/A</v>
      </c>
      <c r="AE132" s="324">
        <f t="shared" ref="AE132:AE195" ca="1" si="63">IF(t&lt;T_para, pos_z, NA())</f>
        <v>729.64893514554217</v>
      </c>
      <c r="AG132" s="306">
        <f t="shared" ca="1" si="56"/>
        <v>-34.117489480476777</v>
      </c>
      <c r="AH132" s="304">
        <f t="shared" ca="1" si="57"/>
        <v>-24.561386290589557</v>
      </c>
    </row>
    <row r="133" spans="1:34" x14ac:dyDescent="0.2">
      <c r="A133" s="347">
        <f t="shared" ref="A133:A196" ca="1" si="64">IF(B132+0.01&lt;=T_ini+ROUNDUP(Temps_fin_propu,0), 0.01, IF(K132&gt;0, 0.1, 0.0001))</f>
        <v>0.01</v>
      </c>
      <c r="B133" s="304">
        <f t="shared" ref="B133:B196" ca="1" si="65">B132+pas</f>
        <v>4.4899999999999727</v>
      </c>
      <c r="D133" s="306">
        <f t="shared" ref="D133:D196" ca="1" si="66">IF(AND(L132&lt;L_rampe,Poussee&lt;Poids*SIN(M132)),0,(-W132+Poussee)/m*COS(M132)-U132/m*SIN(M132))</f>
        <v>-5.53246554439544</v>
      </c>
      <c r="E133" s="307">
        <f t="shared" ref="E133:E196" ca="1" si="67">IF(AND(L132&lt;L_rampe,Poussee&lt;Poids*SIN(M132)),0,(-W132+Poussee)/m*SIN(M132)+U132/m*COS(M132)-Poids/m)</f>
        <v>-33.638816701311143</v>
      </c>
      <c r="F133" s="304">
        <f t="shared" ref="F133:F196" ca="1" si="68">SQRT(acc_x^2+acc_z^2)</f>
        <v>34.09073428461658</v>
      </c>
      <c r="G133" s="306">
        <f t="shared" ref="G133:G196" ca="1" si="69">G132+acc_x*pas</f>
        <v>39.927260325962273</v>
      </c>
      <c r="H133" s="307">
        <f t="shared" ref="H133:H196" ca="1" si="70">H132+acc_z*pas</f>
        <v>171.87212919676477</v>
      </c>
      <c r="I133" s="304">
        <f t="shared" ref="I133:I196" ca="1" si="71">SQRT(vit_x^2+vit_z^2)</f>
        <v>176.44890170178607</v>
      </c>
      <c r="J133" s="306">
        <f t="shared" ref="J133:J196" ca="1" si="72">J132+0.5*(vit_x+G132)*pas*(K132&gt;=0)</f>
        <v>153.10582624562343</v>
      </c>
      <c r="K133" s="307">
        <f t="shared" ref="K133:K196" ca="1" si="73">K132+0.5*(vit_z+H132)*pas</f>
        <v>731.36933837834488</v>
      </c>
      <c r="L133" s="304">
        <f t="shared" ca="1" si="58"/>
        <v>747.22319500289404</v>
      </c>
      <c r="M133" s="306">
        <f t="shared" ref="M133:M196" ca="1" si="74">IF(AND(L132&gt;L_rampe,G133&gt;0),ATAN2(G133,H133),$M$4)</f>
        <v>1.3425370625384156</v>
      </c>
      <c r="N133" s="304">
        <f t="shared" ref="N133:N196" ca="1" si="75">DEGREES(Beta)</f>
        <v>76.921707523342278</v>
      </c>
      <c r="P133" s="310">
        <f t="shared" ref="P133:P196" ca="1" si="76">MATCH(t-pas/2-T_ini,CdP_t)</f>
        <v>13</v>
      </c>
      <c r="Q133" s="304">
        <f t="shared" ref="Q133:Q196" ca="1" si="77">(INDEX(CdP,2,i_P+1)-INDEX(CdP,2,i_P+0))/(INDEX(CdP,1,i_P+1)-INDEX(CdP,1,i_P+0))*(t-pas/2-T_ini-INDEX(CdP,1,i_P+0))+INDEX(CdP,2,i_P+0)</f>
        <v>0</v>
      </c>
      <c r="R133" s="306">
        <f t="shared" ref="R133:R196" ca="1" si="78">Poussee/(g*ISP)</f>
        <v>0</v>
      </c>
      <c r="S133" s="307">
        <f t="shared" ref="S133:S196" ca="1" si="79">S132-Débit*pas</f>
        <v>2.9792999999999985</v>
      </c>
      <c r="T133" s="304">
        <f t="shared" ca="1" si="59"/>
        <v>29.226932999999988</v>
      </c>
      <c r="U133" s="311">
        <f t="shared" ca="1" si="60"/>
        <v>0</v>
      </c>
      <c r="V133" s="306">
        <f t="shared" ca="1" si="61"/>
        <v>1.1385679438352474</v>
      </c>
      <c r="W133" s="304">
        <f t="shared" ca="1" si="62"/>
        <v>72.588820654525591</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731.36933837834488</v>
      </c>
      <c r="AG133" s="306">
        <f t="shared" ref="AG133:AG196" ca="1" si="85">IF(AND(L132&lt;L_rampe,Poussee&lt;Poids*SIN(M132)),0,(-W132+Poussee)/m-Poids*SIN(M132)/m)</f>
        <v>-34.018463446331239</v>
      </c>
      <c r="AH133" s="304">
        <f t="shared" ref="AH133:AH196" ca="1" si="86">IF(AND(L132&lt;L_rampe,Poussee&lt;Poids*SIN(M132)), g*SIN(M132), (-W132+Poussee)/m)</f>
        <v>-24.462638459181125</v>
      </c>
    </row>
    <row r="134" spans="1:34" x14ac:dyDescent="0.2">
      <c r="A134" s="347">
        <f t="shared" ca="1" si="64"/>
        <v>0.01</v>
      </c>
      <c r="B134" s="304">
        <f t="shared" ca="1" si="65"/>
        <v>4.4999999999999725</v>
      </c>
      <c r="D134" s="306">
        <f t="shared" ca="1" si="66"/>
        <v>-5.5132293037230493</v>
      </c>
      <c r="E134" s="307">
        <f t="shared" ca="1" si="67"/>
        <v>-33.542418689511976</v>
      </c>
      <c r="F134" s="304">
        <f t="shared" ca="1" si="68"/>
        <v>33.992492537293479</v>
      </c>
      <c r="G134" s="306">
        <f t="shared" ca="1" si="69"/>
        <v>39.87212803292504</v>
      </c>
      <c r="H134" s="307">
        <f t="shared" ca="1" si="70"/>
        <v>171.53670500986965</v>
      </c>
      <c r="I134" s="304">
        <f t="shared" ca="1" si="71"/>
        <v>176.10970376307208</v>
      </c>
      <c r="J134" s="306">
        <f t="shared" ca="1" si="72"/>
        <v>153.50482318741786</v>
      </c>
      <c r="K134" s="307">
        <f t="shared" ca="1" si="73"/>
        <v>733.08638254937807</v>
      </c>
      <c r="L134" s="304">
        <f t="shared" ca="1" si="58"/>
        <v>748.98556396043671</v>
      </c>
      <c r="M134" s="306">
        <f t="shared" ca="1" si="74"/>
        <v>1.3424110144470518</v>
      </c>
      <c r="N134" s="304">
        <f t="shared" ca="1" si="75"/>
        <v>76.914485499691452</v>
      </c>
      <c r="P134" s="310">
        <f t="shared" ca="1" si="76"/>
        <v>13</v>
      </c>
      <c r="Q134" s="304">
        <f t="shared" ca="1" si="77"/>
        <v>0</v>
      </c>
      <c r="R134" s="306">
        <f t="shared" ca="1" si="78"/>
        <v>0</v>
      </c>
      <c r="S134" s="307">
        <f t="shared" ca="1" si="79"/>
        <v>2.9792999999999985</v>
      </c>
      <c r="T134" s="304">
        <f t="shared" ca="1" si="59"/>
        <v>29.226932999999988</v>
      </c>
      <c r="U134" s="311">
        <f t="shared" ca="1" si="60"/>
        <v>0</v>
      </c>
      <c r="V134" s="306">
        <f t="shared" ca="1" si="61"/>
        <v>1.138372201123047</v>
      </c>
      <c r="W134" s="304">
        <f t="shared" ca="1" si="62"/>
        <v>72.297573975875224</v>
      </c>
      <c r="Y134" s="314" t="str">
        <f t="shared" ca="1" si="80"/>
        <v/>
      </c>
      <c r="Z134" s="315" t="str">
        <f t="shared" ca="1" si="81"/>
        <v/>
      </c>
      <c r="AA134" s="316" t="str">
        <f t="shared" ca="1" si="82"/>
        <v/>
      </c>
      <c r="AC134" s="310" t="e">
        <f t="shared" ca="1" si="83"/>
        <v>#N/A</v>
      </c>
      <c r="AD134" s="323" t="e">
        <f t="shared" ca="1" si="84"/>
        <v>#N/A</v>
      </c>
      <c r="AE134" s="324">
        <f t="shared" ca="1" si="63"/>
        <v>733.08638254937807</v>
      </c>
      <c r="AG134" s="306">
        <f t="shared" ca="1" si="85"/>
        <v>-33.919933774014929</v>
      </c>
      <c r="AH134" s="304">
        <f t="shared" ca="1" si="86"/>
        <v>-24.364387827518421</v>
      </c>
    </row>
    <row r="135" spans="1:34" x14ac:dyDescent="0.2">
      <c r="A135" s="347">
        <f t="shared" ca="1" si="64"/>
        <v>0.01</v>
      </c>
      <c r="B135" s="304">
        <f t="shared" ca="1" si="65"/>
        <v>4.5099999999999723</v>
      </c>
      <c r="D135" s="306">
        <f t="shared" ca="1" si="66"/>
        <v>-5.4940880636590759</v>
      </c>
      <c r="E135" s="307">
        <f t="shared" ca="1" si="67"/>
        <v>-33.446505247372293</v>
      </c>
      <c r="F135" s="304">
        <f t="shared" ca="1" si="68"/>
        <v>33.894744679872474</v>
      </c>
      <c r="G135" s="306">
        <f t="shared" ca="1" si="69"/>
        <v>39.817187152288447</v>
      </c>
      <c r="H135" s="307">
        <f t="shared" ca="1" si="70"/>
        <v>171.20223995739593</v>
      </c>
      <c r="I135" s="304">
        <f t="shared" ca="1" si="71"/>
        <v>175.77148619486081</v>
      </c>
      <c r="J135" s="306">
        <f t="shared" ca="1" si="72"/>
        <v>153.90326976334393</v>
      </c>
      <c r="K135" s="307">
        <f t="shared" ca="1" si="73"/>
        <v>734.80007727421435</v>
      </c>
      <c r="L135" s="304">
        <f t="shared" ca="1" si="58"/>
        <v>750.74454377373934</v>
      </c>
      <c r="M135" s="306">
        <f t="shared" ca="1" si="74"/>
        <v>1.3422846552922307</v>
      </c>
      <c r="N135" s="304">
        <f t="shared" ca="1" si="75"/>
        <v>76.907245653417363</v>
      </c>
      <c r="P135" s="310">
        <f t="shared" ca="1" si="76"/>
        <v>13</v>
      </c>
      <c r="Q135" s="304">
        <f t="shared" ca="1" si="77"/>
        <v>0</v>
      </c>
      <c r="R135" s="306">
        <f t="shared" ca="1" si="78"/>
        <v>0</v>
      </c>
      <c r="S135" s="307">
        <f t="shared" ca="1" si="79"/>
        <v>2.9792999999999985</v>
      </c>
      <c r="T135" s="304">
        <f t="shared" ca="1" si="59"/>
        <v>29.226932999999988</v>
      </c>
      <c r="U135" s="311">
        <f t="shared" ca="1" si="60"/>
        <v>0</v>
      </c>
      <c r="V135" s="306">
        <f t="shared" ca="1" si="61"/>
        <v>1.1381768725711057</v>
      </c>
      <c r="W135" s="304">
        <f t="shared" ca="1" si="62"/>
        <v>72.00778892945722</v>
      </c>
      <c r="Y135" s="314" t="str">
        <f t="shared" ca="1" si="80"/>
        <v/>
      </c>
      <c r="Z135" s="315" t="str">
        <f t="shared" ca="1" si="81"/>
        <v/>
      </c>
      <c r="AA135" s="316" t="str">
        <f t="shared" ca="1" si="82"/>
        <v/>
      </c>
      <c r="AC135" s="310" t="e">
        <f t="shared" ca="1" si="83"/>
        <v>#N/A</v>
      </c>
      <c r="AD135" s="323" t="e">
        <f t="shared" ca="1" si="84"/>
        <v>#N/A</v>
      </c>
      <c r="AE135" s="324">
        <f t="shared" ca="1" si="63"/>
        <v>734.80007727421435</v>
      </c>
      <c r="AG135" s="306">
        <f t="shared" ca="1" si="85"/>
        <v>-33.821897145095932</v>
      </c>
      <c r="AH135" s="304">
        <f t="shared" ca="1" si="86"/>
        <v>-24.266631079741973</v>
      </c>
    </row>
    <row r="136" spans="1:34" x14ac:dyDescent="0.2">
      <c r="A136" s="347">
        <f t="shared" ca="1" si="64"/>
        <v>0.01</v>
      </c>
      <c r="B136" s="304">
        <f t="shared" ca="1" si="65"/>
        <v>4.519999999999972</v>
      </c>
      <c r="D136" s="306">
        <f t="shared" ca="1" si="66"/>
        <v>-5.4750411885130026</v>
      </c>
      <c r="E136" s="307">
        <f t="shared" ca="1" si="67"/>
        <v>-33.351073148823787</v>
      </c>
      <c r="F136" s="304">
        <f t="shared" ca="1" si="68"/>
        <v>33.797487424276213</v>
      </c>
      <c r="G136" s="306">
        <f t="shared" ca="1" si="69"/>
        <v>39.762436740403317</v>
      </c>
      <c r="H136" s="307">
        <f t="shared" ca="1" si="70"/>
        <v>170.86872922590769</v>
      </c>
      <c r="I136" s="304">
        <f t="shared" ca="1" si="71"/>
        <v>175.43424409963734</v>
      </c>
      <c r="J136" s="306">
        <f t="shared" ca="1" si="72"/>
        <v>154.30116788280739</v>
      </c>
      <c r="K136" s="307">
        <f t="shared" ca="1" si="73"/>
        <v>736.51043212013087</v>
      </c>
      <c r="L136" s="304">
        <f t="shared" ca="1" si="58"/>
        <v>752.50014420714911</v>
      </c>
      <c r="M136" s="306">
        <f t="shared" ca="1" si="74"/>
        <v>1.3421579844114817</v>
      </c>
      <c r="N136" s="304">
        <f t="shared" ca="1" si="75"/>
        <v>76.899987946563243</v>
      </c>
      <c r="P136" s="310">
        <f t="shared" ca="1" si="76"/>
        <v>13</v>
      </c>
      <c r="Q136" s="304">
        <f t="shared" ca="1" si="77"/>
        <v>0</v>
      </c>
      <c r="R136" s="306">
        <f t="shared" ca="1" si="78"/>
        <v>0</v>
      </c>
      <c r="S136" s="307">
        <f t="shared" ca="1" si="79"/>
        <v>2.9792999999999985</v>
      </c>
      <c r="T136" s="304">
        <f t="shared" ca="1" si="59"/>
        <v>29.226932999999988</v>
      </c>
      <c r="U136" s="311">
        <f t="shared" ca="1" si="60"/>
        <v>0</v>
      </c>
      <c r="V136" s="306">
        <f t="shared" ca="1" si="61"/>
        <v>1.1379819568918745</v>
      </c>
      <c r="W136" s="304">
        <f t="shared" ca="1" si="62"/>
        <v>71.719455801315647</v>
      </c>
      <c r="Y136" s="314" t="str">
        <f t="shared" ca="1" si="80"/>
        <v/>
      </c>
      <c r="Z136" s="315" t="str">
        <f t="shared" ca="1" si="81"/>
        <v/>
      </c>
      <c r="AA136" s="316" t="str">
        <f t="shared" ca="1" si="82"/>
        <v/>
      </c>
      <c r="AC136" s="310" t="e">
        <f t="shared" ca="1" si="83"/>
        <v>#N/A</v>
      </c>
      <c r="AD136" s="323" t="e">
        <f t="shared" ca="1" si="84"/>
        <v>#N/A</v>
      </c>
      <c r="AE136" s="324">
        <f t="shared" ca="1" si="63"/>
        <v>736.51043212013087</v>
      </c>
      <c r="AG136" s="306">
        <f t="shared" ca="1" si="85"/>
        <v>-33.724350268959725</v>
      </c>
      <c r="AH136" s="304">
        <f t="shared" ca="1" si="86"/>
        <v>-24.16936492782105</v>
      </c>
    </row>
    <row r="137" spans="1:34" x14ac:dyDescent="0.2">
      <c r="A137" s="347">
        <f t="shared" ca="1" si="64"/>
        <v>0.01</v>
      </c>
      <c r="B137" s="304">
        <f t="shared" ca="1" si="65"/>
        <v>4.5299999999999718</v>
      </c>
      <c r="D137" s="306">
        <f t="shared" ca="1" si="66"/>
        <v>-5.4560880479171123</v>
      </c>
      <c r="E137" s="307">
        <f t="shared" ca="1" si="67"/>
        <v>-33.256119194826901</v>
      </c>
      <c r="F137" s="304">
        <f t="shared" ca="1" si="68"/>
        <v>33.700717509975341</v>
      </c>
      <c r="G137" s="306">
        <f t="shared" ca="1" si="69"/>
        <v>39.707875859924144</v>
      </c>
      <c r="H137" s="307">
        <f t="shared" ca="1" si="70"/>
        <v>170.53616803395943</v>
      </c>
      <c r="I137" s="304">
        <f t="shared" ca="1" si="71"/>
        <v>175.09797261251768</v>
      </c>
      <c r="J137" s="306">
        <f t="shared" ca="1" si="72"/>
        <v>154.69851944580904</v>
      </c>
      <c r="K137" s="307">
        <f t="shared" ca="1" si="73"/>
        <v>738.21745660643023</v>
      </c>
      <c r="L137" s="304">
        <f t="shared" ca="1" si="58"/>
        <v>754.25237497616934</v>
      </c>
      <c r="M137" s="306">
        <f t="shared" ca="1" si="74"/>
        <v>1.3420310011398424</v>
      </c>
      <c r="N137" s="304">
        <f t="shared" ca="1" si="75"/>
        <v>76.892712341029537</v>
      </c>
      <c r="P137" s="310">
        <f t="shared" ca="1" si="76"/>
        <v>13</v>
      </c>
      <c r="Q137" s="304">
        <f t="shared" ca="1" si="77"/>
        <v>0</v>
      </c>
      <c r="R137" s="306">
        <f t="shared" ca="1" si="78"/>
        <v>0</v>
      </c>
      <c r="S137" s="307">
        <f t="shared" ca="1" si="79"/>
        <v>2.9792999999999985</v>
      </c>
      <c r="T137" s="304">
        <f t="shared" ca="1" si="59"/>
        <v>29.226932999999988</v>
      </c>
      <c r="U137" s="311">
        <f t="shared" ca="1" si="60"/>
        <v>0</v>
      </c>
      <c r="V137" s="306">
        <f t="shared" ca="1" si="61"/>
        <v>1.1377874528044554</v>
      </c>
      <c r="W137" s="304">
        <f t="shared" ca="1" si="62"/>
        <v>71.432564958742859</v>
      </c>
      <c r="Y137" s="314" t="str">
        <f t="shared" ca="1" si="80"/>
        <v/>
      </c>
      <c r="Z137" s="315" t="str">
        <f t="shared" ca="1" si="81"/>
        <v/>
      </c>
      <c r="AA137" s="316" t="str">
        <f t="shared" ca="1" si="82"/>
        <v/>
      </c>
      <c r="AC137" s="310" t="e">
        <f t="shared" ca="1" si="83"/>
        <v>#N/A</v>
      </c>
      <c r="AD137" s="323" t="e">
        <f t="shared" ca="1" si="84"/>
        <v>#N/A</v>
      </c>
      <c r="AE137" s="324">
        <f t="shared" ca="1" si="63"/>
        <v>738.21745660643023</v>
      </c>
      <c r="AG137" s="306">
        <f t="shared" ca="1" si="85"/>
        <v>-33.627289882528466</v>
      </c>
      <c r="AH137" s="304">
        <f t="shared" ca="1" si="86"/>
        <v>-24.072586111273012</v>
      </c>
    </row>
    <row r="138" spans="1:34" x14ac:dyDescent="0.2">
      <c r="A138" s="347">
        <f t="shared" ca="1" si="64"/>
        <v>0.01</v>
      </c>
      <c r="B138" s="304">
        <f t="shared" ca="1" si="65"/>
        <v>4.5399999999999716</v>
      </c>
      <c r="D138" s="306">
        <f t="shared" ca="1" si="66"/>
        <v>-5.4372280167729405</v>
      </c>
      <c r="E138" s="307">
        <f t="shared" ca="1" si="67"/>
        <v>-33.16164021309887</v>
      </c>
      <c r="F138" s="304">
        <f t="shared" ca="1" si="68"/>
        <v>33.604431703711292</v>
      </c>
      <c r="G138" s="306">
        <f t="shared" ca="1" si="69"/>
        <v>39.653503579756418</v>
      </c>
      <c r="H138" s="307">
        <f t="shared" ca="1" si="70"/>
        <v>170.20455163182845</v>
      </c>
      <c r="I138" s="304">
        <f t="shared" ca="1" si="71"/>
        <v>174.76266690097606</v>
      </c>
      <c r="J138" s="306">
        <f t="shared" ca="1" si="72"/>
        <v>155.09532634300746</v>
      </c>
      <c r="K138" s="307">
        <f t="shared" ca="1" si="73"/>
        <v>739.92116020475919</v>
      </c>
      <c r="L138" s="304">
        <f t="shared" ca="1" si="58"/>
        <v>756.00124574778374</v>
      </c>
      <c r="M138" s="306">
        <f t="shared" ca="1" si="74"/>
        <v>1.3419037048098497</v>
      </c>
      <c r="N138" s="304">
        <f t="shared" ca="1" si="75"/>
        <v>76.885418798573454</v>
      </c>
      <c r="P138" s="310">
        <f t="shared" ca="1" si="76"/>
        <v>13</v>
      </c>
      <c r="Q138" s="304">
        <f t="shared" ca="1" si="77"/>
        <v>0</v>
      </c>
      <c r="R138" s="306">
        <f t="shared" ca="1" si="78"/>
        <v>0</v>
      </c>
      <c r="S138" s="307">
        <f t="shared" ca="1" si="79"/>
        <v>2.9792999999999985</v>
      </c>
      <c r="T138" s="304">
        <f t="shared" ca="1" si="59"/>
        <v>29.226932999999988</v>
      </c>
      <c r="U138" s="311">
        <f t="shared" ca="1" si="60"/>
        <v>0</v>
      </c>
      <c r="V138" s="306">
        <f t="shared" ca="1" si="61"/>
        <v>1.1375933590345548</v>
      </c>
      <c r="W138" s="304">
        <f t="shared" ca="1" si="62"/>
        <v>71.147106849463043</v>
      </c>
      <c r="Y138" s="314" t="str">
        <f t="shared" ca="1" si="80"/>
        <v/>
      </c>
      <c r="Z138" s="315" t="str">
        <f t="shared" ca="1" si="81"/>
        <v/>
      </c>
      <c r="AA138" s="316" t="str">
        <f t="shared" ca="1" si="82"/>
        <v/>
      </c>
      <c r="AC138" s="310" t="e">
        <f t="shared" ca="1" si="83"/>
        <v>#N/A</v>
      </c>
      <c r="AD138" s="323" t="e">
        <f t="shared" ca="1" si="84"/>
        <v>#N/A</v>
      </c>
      <c r="AE138" s="324">
        <f t="shared" ca="1" si="63"/>
        <v>739.92116020475919</v>
      </c>
      <c r="AG138" s="306">
        <f t="shared" ca="1" si="85"/>
        <v>-33.53071274998377</v>
      </c>
      <c r="AH138" s="304">
        <f t="shared" ca="1" si="86"/>
        <v>-23.976291396886147</v>
      </c>
    </row>
    <row r="139" spans="1:34" x14ac:dyDescent="0.2">
      <c r="A139" s="347">
        <f t="shared" ca="1" si="64"/>
        <v>0.01</v>
      </c>
      <c r="B139" s="304">
        <f t="shared" ca="1" si="65"/>
        <v>4.5499999999999714</v>
      </c>
      <c r="D139" s="306">
        <f t="shared" ca="1" si="66"/>
        <v>-5.4184604751983132</v>
      </c>
      <c r="E139" s="307">
        <f t="shared" ca="1" si="67"/>
        <v>-33.067633057844866</v>
      </c>
      <c r="F139" s="304">
        <f t="shared" ca="1" si="68"/>
        <v>33.508626799222327</v>
      </c>
      <c r="G139" s="306">
        <f t="shared" ca="1" si="69"/>
        <v>39.599318975004437</v>
      </c>
      <c r="H139" s="307">
        <f t="shared" ca="1" si="70"/>
        <v>169.87387530125</v>
      </c>
      <c r="I139" s="304">
        <f t="shared" ca="1" si="71"/>
        <v>174.42832216457504</v>
      </c>
      <c r="J139" s="306">
        <f t="shared" ca="1" si="72"/>
        <v>155.49159045578125</v>
      </c>
      <c r="K139" s="307">
        <f t="shared" ca="1" si="73"/>
        <v>741.62155233942462</v>
      </c>
      <c r="L139" s="304">
        <f t="shared" ca="1" si="58"/>
        <v>757.74676614077759</v>
      </c>
      <c r="M139" s="306">
        <f t="shared" ca="1" si="74"/>
        <v>1.34177609475153</v>
      </c>
      <c r="N139" s="304">
        <f t="shared" ca="1" si="75"/>
        <v>76.878107280808322</v>
      </c>
      <c r="P139" s="310">
        <f t="shared" ca="1" si="76"/>
        <v>13</v>
      </c>
      <c r="Q139" s="304">
        <f t="shared" ca="1" si="77"/>
        <v>0</v>
      </c>
      <c r="R139" s="306">
        <f t="shared" ca="1" si="78"/>
        <v>0</v>
      </c>
      <c r="S139" s="307">
        <f t="shared" ca="1" si="79"/>
        <v>2.9792999999999985</v>
      </c>
      <c r="T139" s="304">
        <f t="shared" ca="1" si="59"/>
        <v>29.226932999999988</v>
      </c>
      <c r="U139" s="311">
        <f t="shared" ca="1" si="60"/>
        <v>0</v>
      </c>
      <c r="V139" s="306">
        <f t="shared" ca="1" si="61"/>
        <v>1.137399674314439</v>
      </c>
      <c r="W139" s="304">
        <f t="shared" ca="1" si="62"/>
        <v>70.863072000825397</v>
      </c>
      <c r="Y139" s="314" t="str">
        <f t="shared" ca="1" si="80"/>
        <v/>
      </c>
      <c r="Z139" s="315" t="str">
        <f t="shared" ca="1" si="81"/>
        <v/>
      </c>
      <c r="AA139" s="316" t="str">
        <f t="shared" ca="1" si="82"/>
        <v/>
      </c>
      <c r="AC139" s="310" t="e">
        <f t="shared" ca="1" si="83"/>
        <v>#N/A</v>
      </c>
      <c r="AD139" s="323" t="e">
        <f t="shared" ca="1" si="84"/>
        <v>#N/A</v>
      </c>
      <c r="AE139" s="324">
        <f t="shared" ca="1" si="63"/>
        <v>741.62155233942462</v>
      </c>
      <c r="AG139" s="306">
        <f t="shared" ca="1" si="85"/>
        <v>-33.434615662492646</v>
      </c>
      <c r="AH139" s="304">
        <f t="shared" ca="1" si="86"/>
        <v>-23.880477578445635</v>
      </c>
    </row>
    <row r="140" spans="1:34" x14ac:dyDescent="0.2">
      <c r="A140" s="347">
        <f t="shared" ca="1" si="64"/>
        <v>0.01</v>
      </c>
      <c r="B140" s="304">
        <f t="shared" ca="1" si="65"/>
        <v>4.5599999999999712</v>
      </c>
      <c r="D140" s="306">
        <f t="shared" ca="1" si="66"/>
        <v>-5.3997848084750046</v>
      </c>
      <c r="E140" s="307">
        <f t="shared" ca="1" si="67"/>
        <v>-32.974094609492312</v>
      </c>
      <c r="F140" s="304">
        <f t="shared" ca="1" si="68"/>
        <v>33.413299616972694</v>
      </c>
      <c r="G140" s="306">
        <f t="shared" ca="1" si="69"/>
        <v>39.545321126919688</v>
      </c>
      <c r="H140" s="307">
        <f t="shared" ca="1" si="70"/>
        <v>169.54413435515508</v>
      </c>
      <c r="I140" s="304">
        <f t="shared" ca="1" si="71"/>
        <v>174.09493363469849</v>
      </c>
      <c r="J140" s="306">
        <f t="shared" ca="1" si="72"/>
        <v>155.88731365629087</v>
      </c>
      <c r="K140" s="307">
        <f t="shared" ca="1" si="73"/>
        <v>743.31864238770663</v>
      </c>
      <c r="L140" s="304">
        <f t="shared" ca="1" si="58"/>
        <v>759.48894572605741</v>
      </c>
      <c r="M140" s="306">
        <f t="shared" ca="1" si="74"/>
        <v>1.3416481702923901</v>
      </c>
      <c r="N140" s="304">
        <f t="shared" ca="1" si="75"/>
        <v>76.870777749203114</v>
      </c>
      <c r="P140" s="310">
        <f t="shared" ca="1" si="76"/>
        <v>13</v>
      </c>
      <c r="Q140" s="304">
        <f t="shared" ca="1" si="77"/>
        <v>0</v>
      </c>
      <c r="R140" s="306">
        <f t="shared" ca="1" si="78"/>
        <v>0</v>
      </c>
      <c r="S140" s="307">
        <f t="shared" ca="1" si="79"/>
        <v>2.9792999999999985</v>
      </c>
      <c r="T140" s="304">
        <f t="shared" ca="1" si="59"/>
        <v>29.226932999999988</v>
      </c>
      <c r="U140" s="311">
        <f t="shared" ca="1" si="60"/>
        <v>0</v>
      </c>
      <c r="V140" s="306">
        <f t="shared" ca="1" si="61"/>
        <v>1.1372063973828901</v>
      </c>
      <c r="W140" s="304">
        <f t="shared" ca="1" si="62"/>
        <v>70.580451019007</v>
      </c>
      <c r="Y140" s="314" t="str">
        <f t="shared" ca="1" si="80"/>
        <v/>
      </c>
      <c r="Z140" s="315" t="str">
        <f t="shared" ca="1" si="81"/>
        <v/>
      </c>
      <c r="AA140" s="316" t="str">
        <f t="shared" ca="1" si="82"/>
        <v/>
      </c>
      <c r="AC140" s="310" t="e">
        <f t="shared" ca="1" si="83"/>
        <v>#N/A</v>
      </c>
      <c r="AD140" s="323" t="e">
        <f t="shared" ca="1" si="84"/>
        <v>#N/A</v>
      </c>
      <c r="AE140" s="324">
        <f t="shared" ca="1" si="63"/>
        <v>743.31864238770663</v>
      </c>
      <c r="AG140" s="306">
        <f t="shared" ca="1" si="85"/>
        <v>-33.338995437936589</v>
      </c>
      <c r="AH140" s="304">
        <f t="shared" ca="1" si="86"/>
        <v>-23.785141476462737</v>
      </c>
    </row>
    <row r="141" spans="1:34" x14ac:dyDescent="0.2">
      <c r="A141" s="347">
        <f t="shared" ca="1" si="64"/>
        <v>0.01</v>
      </c>
      <c r="B141" s="304">
        <f t="shared" ca="1" si="65"/>
        <v>4.569999999999971</v>
      </c>
      <c r="D141" s="306">
        <f t="shared" ca="1" si="66"/>
        <v>-5.3812004069970518</v>
      </c>
      <c r="E141" s="307">
        <f t="shared" ca="1" si="67"/>
        <v>-32.881021774428305</v>
      </c>
      <c r="F141" s="304">
        <f t="shared" ca="1" si="68"/>
        <v>33.318447003884998</v>
      </c>
      <c r="G141" s="306">
        <f t="shared" ca="1" si="69"/>
        <v>39.49150912284972</v>
      </c>
      <c r="H141" s="307">
        <f t="shared" ca="1" si="70"/>
        <v>169.21532413741079</v>
      </c>
      <c r="I141" s="304">
        <f t="shared" ca="1" si="71"/>
        <v>173.76249657428704</v>
      </c>
      <c r="J141" s="306">
        <f t="shared" ca="1" si="72"/>
        <v>156.28249780753973</v>
      </c>
      <c r="K141" s="307">
        <f t="shared" ca="1" si="73"/>
        <v>745.01243968016945</v>
      </c>
      <c r="L141" s="304">
        <f t="shared" ca="1" si="58"/>
        <v>761.22779402696654</v>
      </c>
      <c r="M141" s="306">
        <f t="shared" ca="1" si="74"/>
        <v>1.3415199307574062</v>
      </c>
      <c r="N141" s="304">
        <f t="shared" ca="1" si="75"/>
        <v>76.863430165081809</v>
      </c>
      <c r="P141" s="310">
        <f t="shared" ca="1" si="76"/>
        <v>13</v>
      </c>
      <c r="Q141" s="304">
        <f t="shared" ca="1" si="77"/>
        <v>0</v>
      </c>
      <c r="R141" s="306">
        <f t="shared" ca="1" si="78"/>
        <v>0</v>
      </c>
      <c r="S141" s="307">
        <f t="shared" ca="1" si="79"/>
        <v>2.9792999999999985</v>
      </c>
      <c r="T141" s="304">
        <f t="shared" ca="1" si="59"/>
        <v>29.226932999999988</v>
      </c>
      <c r="U141" s="311">
        <f t="shared" ca="1" si="60"/>
        <v>0</v>
      </c>
      <c r="V141" s="306">
        <f t="shared" ca="1" si="61"/>
        <v>1.1370135269851613</v>
      </c>
      <c r="W141" s="304">
        <f t="shared" ca="1" si="62"/>
        <v>70.299234588224749</v>
      </c>
      <c r="Y141" s="314" t="str">
        <f t="shared" ca="1" si="80"/>
        <v/>
      </c>
      <c r="Z141" s="315" t="str">
        <f t="shared" ca="1" si="81"/>
        <v/>
      </c>
      <c r="AA141" s="316" t="str">
        <f t="shared" ca="1" si="82"/>
        <v/>
      </c>
      <c r="AC141" s="310" t="e">
        <f t="shared" ca="1" si="83"/>
        <v>#N/A</v>
      </c>
      <c r="AD141" s="323" t="e">
        <f t="shared" ca="1" si="84"/>
        <v>#N/A</v>
      </c>
      <c r="AE141" s="324">
        <f t="shared" ca="1" si="63"/>
        <v>745.01243968016945</v>
      </c>
      <c r="AG141" s="306">
        <f t="shared" ca="1" si="85"/>
        <v>-33.243848920644005</v>
      </c>
      <c r="AH141" s="304">
        <f t="shared" ca="1" si="86"/>
        <v>-23.690279937907238</v>
      </c>
    </row>
    <row r="142" spans="1:34" x14ac:dyDescent="0.2">
      <c r="A142" s="347">
        <f t="shared" ca="1" si="64"/>
        <v>0.01</v>
      </c>
      <c r="B142" s="304">
        <f t="shared" ca="1" si="65"/>
        <v>4.5799999999999708</v>
      </c>
      <c r="D142" s="306">
        <f t="shared" ca="1" si="66"/>
        <v>-5.3627066662196432</v>
      </c>
      <c r="E142" s="307">
        <f t="shared" ca="1" si="67"/>
        <v>-32.788411484740159</v>
      </c>
      <c r="F142" s="304">
        <f t="shared" ca="1" si="68"/>
        <v>33.224065833075834</v>
      </c>
      <c r="G142" s="306">
        <f t="shared" ca="1" si="69"/>
        <v>39.437882056187526</v>
      </c>
      <c r="H142" s="307">
        <f t="shared" ca="1" si="70"/>
        <v>168.8874400225634</v>
      </c>
      <c r="I142" s="304">
        <f t="shared" ca="1" si="71"/>
        <v>173.4310062775763</v>
      </c>
      <c r="J142" s="306">
        <f t="shared" ca="1" si="72"/>
        <v>156.67714476343491</v>
      </c>
      <c r="K142" s="307">
        <f t="shared" ca="1" si="73"/>
        <v>746.70295350096933</v>
      </c>
      <c r="L142" s="304">
        <f t="shared" ca="1" si="58"/>
        <v>762.96332051959951</v>
      </c>
      <c r="M142" s="306">
        <f t="shared" ca="1" si="74"/>
        <v>1.3413913754690157</v>
      </c>
      <c r="N142" s="304">
        <f t="shared" ca="1" si="75"/>
        <v>76.856064489622952</v>
      </c>
      <c r="P142" s="310">
        <f t="shared" ca="1" si="76"/>
        <v>13</v>
      </c>
      <c r="Q142" s="304">
        <f t="shared" ca="1" si="77"/>
        <v>0</v>
      </c>
      <c r="R142" s="306">
        <f t="shared" ca="1" si="78"/>
        <v>0</v>
      </c>
      <c r="S142" s="307">
        <f t="shared" ca="1" si="79"/>
        <v>2.9792999999999985</v>
      </c>
      <c r="T142" s="304">
        <f t="shared" ca="1" si="59"/>
        <v>29.226932999999988</v>
      </c>
      <c r="U142" s="311">
        <f t="shared" ca="1" si="60"/>
        <v>0</v>
      </c>
      <c r="V142" s="306">
        <f t="shared" ca="1" si="61"/>
        <v>1.1368210618729344</v>
      </c>
      <c r="W142" s="304">
        <f t="shared" ca="1" si="62"/>
        <v>70.019413469956675</v>
      </c>
      <c r="Y142" s="314" t="str">
        <f t="shared" ca="1" si="80"/>
        <v/>
      </c>
      <c r="Z142" s="315" t="str">
        <f t="shared" ca="1" si="81"/>
        <v/>
      </c>
      <c r="AA142" s="316" t="str">
        <f t="shared" ca="1" si="82"/>
        <v/>
      </c>
      <c r="AC142" s="310" t="e">
        <f t="shared" ca="1" si="83"/>
        <v>#N/A</v>
      </c>
      <c r="AD142" s="323" t="e">
        <f t="shared" ca="1" si="84"/>
        <v>#N/A</v>
      </c>
      <c r="AE142" s="324">
        <f t="shared" ca="1" si="63"/>
        <v>746.70295350096933</v>
      </c>
      <c r="AG142" s="306">
        <f t="shared" ca="1" si="85"/>
        <v>-33.149172981125616</v>
      </c>
      <c r="AH142" s="304">
        <f t="shared" ca="1" si="86"/>
        <v>-23.595889835942934</v>
      </c>
    </row>
    <row r="143" spans="1:34" x14ac:dyDescent="0.2">
      <c r="A143" s="347">
        <f t="shared" ca="1" si="64"/>
        <v>0.01</v>
      </c>
      <c r="B143" s="304">
        <f t="shared" ca="1" si="65"/>
        <v>4.5899999999999705</v>
      </c>
      <c r="D143" s="306">
        <f t="shared" ca="1" si="66"/>
        <v>-5.3443029866085876</v>
      </c>
      <c r="E143" s="307">
        <f t="shared" ca="1" si="67"/>
        <v>-32.69626069795892</v>
      </c>
      <c r="F143" s="304">
        <f t="shared" ca="1" si="68"/>
        <v>33.130153003594273</v>
      </c>
      <c r="G143" s="306">
        <f t="shared" ca="1" si="69"/>
        <v>39.384439026321438</v>
      </c>
      <c r="H143" s="307">
        <f t="shared" ca="1" si="70"/>
        <v>168.56047741558382</v>
      </c>
      <c r="I143" s="304">
        <f t="shared" ca="1" si="71"/>
        <v>173.10045806983752</v>
      </c>
      <c r="J143" s="306">
        <f t="shared" ca="1" si="72"/>
        <v>157.07125636884746</v>
      </c>
      <c r="K143" s="307">
        <f t="shared" ca="1" si="73"/>
        <v>748.39019308816012</v>
      </c>
      <c r="L143" s="304">
        <f t="shared" ca="1" si="58"/>
        <v>764.69553463311252</v>
      </c>
      <c r="M143" s="306">
        <f t="shared" ca="1" si="74"/>
        <v>1.3412625037471073</v>
      </c>
      <c r="N143" s="304">
        <f t="shared" ca="1" si="75"/>
        <v>76.848680683859016</v>
      </c>
      <c r="P143" s="310">
        <f t="shared" ca="1" si="76"/>
        <v>13</v>
      </c>
      <c r="Q143" s="304">
        <f t="shared" ca="1" si="77"/>
        <v>0</v>
      </c>
      <c r="R143" s="306">
        <f t="shared" ca="1" si="78"/>
        <v>0</v>
      </c>
      <c r="S143" s="307">
        <f t="shared" ca="1" si="79"/>
        <v>2.9792999999999985</v>
      </c>
      <c r="T143" s="304">
        <f t="shared" ca="1" si="59"/>
        <v>29.226932999999988</v>
      </c>
      <c r="U143" s="311">
        <f t="shared" ca="1" si="60"/>
        <v>0</v>
      </c>
      <c r="V143" s="306">
        <f t="shared" ca="1" si="61"/>
        <v>1.1366290008042748</v>
      </c>
      <c r="W143" s="304">
        <f t="shared" ca="1" si="62"/>
        <v>69.740978502171998</v>
      </c>
      <c r="Y143" s="314" t="str">
        <f t="shared" ca="1" si="80"/>
        <v/>
      </c>
      <c r="Z143" s="315" t="str">
        <f t="shared" ca="1" si="81"/>
        <v/>
      </c>
      <c r="AA143" s="316" t="str">
        <f t="shared" ca="1" si="82"/>
        <v/>
      </c>
      <c r="AC143" s="310" t="e">
        <f t="shared" ca="1" si="83"/>
        <v>#N/A</v>
      </c>
      <c r="AD143" s="323" t="e">
        <f t="shared" ca="1" si="84"/>
        <v>#N/A</v>
      </c>
      <c r="AE143" s="324">
        <f t="shared" ca="1" si="63"/>
        <v>748.39019308816012</v>
      </c>
      <c r="AG143" s="306">
        <f t="shared" ca="1" si="85"/>
        <v>-33.054964515813047</v>
      </c>
      <c r="AH143" s="304">
        <f t="shared" ca="1" si="86"/>
        <v>-23.501968069666265</v>
      </c>
    </row>
    <row r="144" spans="1:34" x14ac:dyDescent="0.2">
      <c r="A144" s="347">
        <f t="shared" ca="1" si="64"/>
        <v>0.01</v>
      </c>
      <c r="B144" s="304">
        <f t="shared" ca="1" si="65"/>
        <v>4.5999999999999703</v>
      </c>
      <c r="D144" s="306">
        <f t="shared" ca="1" si="66"/>
        <v>-5.3259887735903835</v>
      </c>
      <c r="E144" s="307">
        <f t="shared" ca="1" si="67"/>
        <v>-32.604566396805836</v>
      </c>
      <c r="F144" s="304">
        <f t="shared" ca="1" si="68"/>
        <v>33.036705440163537</v>
      </c>
      <c r="G144" s="306">
        <f t="shared" ca="1" si="69"/>
        <v>39.331179138585533</v>
      </c>
      <c r="H144" s="307">
        <f t="shared" ca="1" si="70"/>
        <v>168.23443175161577</v>
      </c>
      <c r="I144" s="304">
        <f t="shared" ca="1" si="71"/>
        <v>172.77084730712116</v>
      </c>
      <c r="J144" s="306">
        <f t="shared" ca="1" si="72"/>
        <v>157.46483445967201</v>
      </c>
      <c r="K144" s="307">
        <f t="shared" ca="1" si="73"/>
        <v>750.07416763399613</v>
      </c>
      <c r="L144" s="304">
        <f t="shared" ca="1" si="58"/>
        <v>766.42444575003219</v>
      </c>
      <c r="M144" s="306">
        <f t="shared" ca="1" si="74"/>
        <v>1.3411333149090101</v>
      </c>
      <c r="N144" s="304">
        <f t="shared" ca="1" si="75"/>
        <v>76.841278708675844</v>
      </c>
      <c r="P144" s="310">
        <f t="shared" ca="1" si="76"/>
        <v>13</v>
      </c>
      <c r="Q144" s="304">
        <f t="shared" ca="1" si="77"/>
        <v>0</v>
      </c>
      <c r="R144" s="306">
        <f t="shared" ca="1" si="78"/>
        <v>0</v>
      </c>
      <c r="S144" s="307">
        <f t="shared" ca="1" si="79"/>
        <v>2.9792999999999985</v>
      </c>
      <c r="T144" s="304">
        <f t="shared" ca="1" si="59"/>
        <v>29.226932999999988</v>
      </c>
      <c r="U144" s="311">
        <f t="shared" ca="1" si="60"/>
        <v>0</v>
      </c>
      <c r="V144" s="306">
        <f t="shared" ca="1" si="61"/>
        <v>1.136437342543589</v>
      </c>
      <c r="W144" s="304">
        <f t="shared" ca="1" si="62"/>
        <v>69.463920598570695</v>
      </c>
      <c r="Y144" s="314" t="str">
        <f t="shared" ca="1" si="80"/>
        <v/>
      </c>
      <c r="Z144" s="315" t="str">
        <f t="shared" ca="1" si="81"/>
        <v/>
      </c>
      <c r="AA144" s="316" t="str">
        <f t="shared" ca="1" si="82"/>
        <v/>
      </c>
      <c r="AC144" s="310" t="e">
        <f t="shared" ca="1" si="83"/>
        <v>#N/A</v>
      </c>
      <c r="AD144" s="323" t="e">
        <f t="shared" ca="1" si="84"/>
        <v>#N/A</v>
      </c>
      <c r="AE144" s="324">
        <f t="shared" ca="1" si="63"/>
        <v>750.07416763399613</v>
      </c>
      <c r="AG144" s="306">
        <f t="shared" ca="1" si="85"/>
        <v>-32.961220446800361</v>
      </c>
      <c r="AH144" s="304">
        <f t="shared" ca="1" si="86"/>
        <v>-23.408511563847895</v>
      </c>
    </row>
    <row r="145" spans="1:34" x14ac:dyDescent="0.2">
      <c r="A145" s="347">
        <f t="shared" ca="1" si="64"/>
        <v>0.01</v>
      </c>
      <c r="B145" s="304">
        <f t="shared" ca="1" si="65"/>
        <v>4.6099999999999701</v>
      </c>
      <c r="D145" s="306">
        <f t="shared" ca="1" si="66"/>
        <v>-5.307763437502917</v>
      </c>
      <c r="E145" s="307">
        <f t="shared" ca="1" si="67"/>
        <v>-32.513325588941889</v>
      </c>
      <c r="F145" s="304">
        <f t="shared" ca="1" si="68"/>
        <v>32.943720092925695</v>
      </c>
      <c r="G145" s="306">
        <f t="shared" ca="1" si="69"/>
        <v>39.278101504210504</v>
      </c>
      <c r="H145" s="307">
        <f t="shared" ca="1" si="70"/>
        <v>167.90929849572635</v>
      </c>
      <c r="I145" s="304">
        <f t="shared" ca="1" si="71"/>
        <v>172.44216937600268</v>
      </c>
      <c r="J145" s="306">
        <f t="shared" ca="1" si="72"/>
        <v>157.85788086288599</v>
      </c>
      <c r="K145" s="307">
        <f t="shared" ca="1" si="73"/>
        <v>751.75488628523283</v>
      </c>
      <c r="L145" s="304">
        <f t="shared" ca="1" si="58"/>
        <v>768.15006320656153</v>
      </c>
      <c r="M145" s="306">
        <f t="shared" ca="1" si="74"/>
        <v>1.3410038082694846</v>
      </c>
      <c r="N145" s="304">
        <f t="shared" ca="1" si="75"/>
        <v>76.833858524812115</v>
      </c>
      <c r="P145" s="310">
        <f t="shared" ca="1" si="76"/>
        <v>13</v>
      </c>
      <c r="Q145" s="304">
        <f t="shared" ca="1" si="77"/>
        <v>0</v>
      </c>
      <c r="R145" s="306">
        <f t="shared" ca="1" si="78"/>
        <v>0</v>
      </c>
      <c r="S145" s="307">
        <f t="shared" ca="1" si="79"/>
        <v>2.9792999999999985</v>
      </c>
      <c r="T145" s="304">
        <f t="shared" ca="1" si="59"/>
        <v>29.226932999999988</v>
      </c>
      <c r="U145" s="311">
        <f t="shared" ca="1" si="60"/>
        <v>0</v>
      </c>
      <c r="V145" s="306">
        <f t="shared" ca="1" si="61"/>
        <v>1.1362460858615835</v>
      </c>
      <c r="W145" s="304">
        <f t="shared" ca="1" si="62"/>
        <v>69.188230747831383</v>
      </c>
      <c r="Y145" s="314" t="str">
        <f t="shared" ca="1" si="80"/>
        <v/>
      </c>
      <c r="Z145" s="315" t="str">
        <f t="shared" ca="1" si="81"/>
        <v/>
      </c>
      <c r="AA145" s="316" t="str">
        <f t="shared" ca="1" si="82"/>
        <v/>
      </c>
      <c r="AC145" s="310" t="e">
        <f t="shared" ca="1" si="83"/>
        <v>#N/A</v>
      </c>
      <c r="AD145" s="323" t="e">
        <f t="shared" ca="1" si="84"/>
        <v>#N/A</v>
      </c>
      <c r="AE145" s="324">
        <f t="shared" ca="1" si="63"/>
        <v>751.75488628523283</v>
      </c>
      <c r="AG145" s="306">
        <f t="shared" ca="1" si="85"/>
        <v>-32.867937721588703</v>
      </c>
      <c r="AH145" s="304">
        <f t="shared" ca="1" si="86"/>
        <v>-23.31551726867745</v>
      </c>
    </row>
    <row r="146" spans="1:34" x14ac:dyDescent="0.2">
      <c r="A146" s="347">
        <f t="shared" ca="1" si="64"/>
        <v>0.01</v>
      </c>
      <c r="B146" s="304">
        <f t="shared" ca="1" si="65"/>
        <v>4.6199999999999699</v>
      </c>
      <c r="D146" s="306">
        <f t="shared" ca="1" si="66"/>
        <v>-5.2896263935466568</v>
      </c>
      <c r="E146" s="307">
        <f t="shared" ca="1" si="67"/>
        <v>-32.42253530672015</v>
      </c>
      <c r="F146" s="304">
        <f t="shared" ca="1" si="68"/>
        <v>32.851193937189258</v>
      </c>
      <c r="G146" s="306">
        <f t="shared" ca="1" si="69"/>
        <v>39.225205240275038</v>
      </c>
      <c r="H146" s="307">
        <f t="shared" ca="1" si="70"/>
        <v>167.58507314265916</v>
      </c>
      <c r="I146" s="304">
        <f t="shared" ca="1" si="71"/>
        <v>172.11441969333109</v>
      </c>
      <c r="J146" s="306">
        <f t="shared" ca="1" si="72"/>
        <v>158.25039739660841</v>
      </c>
      <c r="K146" s="307">
        <f t="shared" ca="1" si="73"/>
        <v>753.43235814342472</v>
      </c>
      <c r="L146" s="304">
        <f t="shared" ca="1" si="58"/>
        <v>769.87239629288331</v>
      </c>
      <c r="M146" s="306">
        <f t="shared" ca="1" si="74"/>
        <v>1.3408739831407133</v>
      </c>
      <c r="N146" s="304">
        <f t="shared" ca="1" si="75"/>
        <v>76.826420092858768</v>
      </c>
      <c r="P146" s="310">
        <f t="shared" ca="1" si="76"/>
        <v>13</v>
      </c>
      <c r="Q146" s="304">
        <f t="shared" ca="1" si="77"/>
        <v>0</v>
      </c>
      <c r="R146" s="306">
        <f t="shared" ca="1" si="78"/>
        <v>0</v>
      </c>
      <c r="S146" s="307">
        <f t="shared" ca="1" si="79"/>
        <v>2.9792999999999985</v>
      </c>
      <c r="T146" s="304">
        <f t="shared" ca="1" si="59"/>
        <v>29.226932999999988</v>
      </c>
      <c r="U146" s="311">
        <f t="shared" ca="1" si="60"/>
        <v>0</v>
      </c>
      <c r="V146" s="306">
        <f t="shared" ca="1" si="61"/>
        <v>1.1360552295352206</v>
      </c>
      <c r="W146" s="304">
        <f t="shared" ca="1" si="62"/>
        <v>68.913900012868211</v>
      </c>
      <c r="Y146" s="314" t="str">
        <f t="shared" ca="1" si="80"/>
        <v/>
      </c>
      <c r="Z146" s="315" t="str">
        <f t="shared" ca="1" si="81"/>
        <v/>
      </c>
      <c r="AA146" s="316" t="str">
        <f t="shared" ca="1" si="82"/>
        <v/>
      </c>
      <c r="AC146" s="310" t="e">
        <f t="shared" ca="1" si="83"/>
        <v>#N/A</v>
      </c>
      <c r="AD146" s="323" t="e">
        <f t="shared" ca="1" si="84"/>
        <v>#N/A</v>
      </c>
      <c r="AE146" s="324">
        <f t="shared" ca="1" si="63"/>
        <v>753.43235814342472</v>
      </c>
      <c r="AG146" s="306">
        <f t="shared" ca="1" si="85"/>
        <v>-32.775113312833859</v>
      </c>
      <c r="AH146" s="304">
        <f t="shared" ca="1" si="86"/>
        <v>-23.222982159511098</v>
      </c>
    </row>
    <row r="147" spans="1:34" x14ac:dyDescent="0.2">
      <c r="A147" s="347">
        <f t="shared" ca="1" si="64"/>
        <v>0.01</v>
      </c>
      <c r="B147" s="304">
        <f t="shared" ca="1" si="65"/>
        <v>4.6299999999999697</v>
      </c>
      <c r="D147" s="306">
        <f t="shared" ca="1" si="66"/>
        <v>-5.2715770617364504</v>
      </c>
      <c r="E147" s="307">
        <f t="shared" ca="1" si="67"/>
        <v>-32.332192606941028</v>
      </c>
      <c r="F147" s="304">
        <f t="shared" ca="1" si="68"/>
        <v>32.759123973179719</v>
      </c>
      <c r="G147" s="306">
        <f t="shared" ca="1" si="69"/>
        <v>39.172489469657677</v>
      </c>
      <c r="H147" s="307">
        <f t="shared" ca="1" si="70"/>
        <v>167.26175121658974</v>
      </c>
      <c r="I147" s="304">
        <f t="shared" ca="1" si="71"/>
        <v>171.78759370597984</v>
      </c>
      <c r="J147" s="306">
        <f t="shared" ca="1" si="72"/>
        <v>158.64238587015808</v>
      </c>
      <c r="K147" s="307">
        <f t="shared" ca="1" si="73"/>
        <v>755.10659226522091</v>
      </c>
      <c r="L147" s="304">
        <f t="shared" ca="1" si="58"/>
        <v>771.59145425346094</v>
      </c>
      <c r="M147" s="306">
        <f t="shared" ca="1" si="74"/>
        <v>1.3407438388322894</v>
      </c>
      <c r="N147" s="304">
        <f t="shared" ca="1" si="75"/>
        <v>76.818963373258441</v>
      </c>
      <c r="P147" s="310">
        <f t="shared" ca="1" si="76"/>
        <v>13</v>
      </c>
      <c r="Q147" s="304">
        <f t="shared" ca="1" si="77"/>
        <v>0</v>
      </c>
      <c r="R147" s="306">
        <f t="shared" ca="1" si="78"/>
        <v>0</v>
      </c>
      <c r="S147" s="307">
        <f t="shared" ca="1" si="79"/>
        <v>2.9792999999999985</v>
      </c>
      <c r="T147" s="304">
        <f t="shared" ca="1" si="59"/>
        <v>29.226932999999988</v>
      </c>
      <c r="U147" s="311">
        <f t="shared" ca="1" si="60"/>
        <v>0</v>
      </c>
      <c r="V147" s="306">
        <f t="shared" ca="1" si="61"/>
        <v>1.1358647723476771</v>
      </c>
      <c r="W147" s="304">
        <f t="shared" ca="1" si="62"/>
        <v>68.640919530096241</v>
      </c>
      <c r="Y147" s="314" t="str">
        <f t="shared" ca="1" si="80"/>
        <v/>
      </c>
      <c r="Z147" s="315" t="str">
        <f t="shared" ca="1" si="81"/>
        <v/>
      </c>
      <c r="AA147" s="316" t="str">
        <f t="shared" ca="1" si="82"/>
        <v/>
      </c>
      <c r="AC147" s="310" t="e">
        <f t="shared" ca="1" si="83"/>
        <v>#N/A</v>
      </c>
      <c r="AD147" s="323" t="e">
        <f t="shared" ca="1" si="84"/>
        <v>#N/A</v>
      </c>
      <c r="AE147" s="324">
        <f t="shared" ca="1" si="63"/>
        <v>755.10659226522091</v>
      </c>
      <c r="AG147" s="306">
        <f t="shared" ca="1" si="85"/>
        <v>-32.682744218096751</v>
      </c>
      <c r="AH147" s="304">
        <f t="shared" ca="1" si="86"/>
        <v>-23.130903236622107</v>
      </c>
    </row>
    <row r="148" spans="1:34" x14ac:dyDescent="0.2">
      <c r="A148" s="347">
        <f t="shared" ca="1" si="64"/>
        <v>0.01</v>
      </c>
      <c r="B148" s="304">
        <f t="shared" ca="1" si="65"/>
        <v>4.6399999999999695</v>
      </c>
      <c r="D148" s="306">
        <f t="shared" ca="1" si="66"/>
        <v>-5.2536148668538942</v>
      </c>
      <c r="E148" s="307">
        <f t="shared" ca="1" si="67"/>
        <v>-32.242294570610362</v>
      </c>
      <c r="F148" s="304">
        <f t="shared" ca="1" si="68"/>
        <v>32.667507225793017</v>
      </c>
      <c r="G148" s="306">
        <f t="shared" ca="1" si="69"/>
        <v>39.11995332098914</v>
      </c>
      <c r="H148" s="307">
        <f t="shared" ca="1" si="70"/>
        <v>166.93932827088364</v>
      </c>
      <c r="I148" s="304">
        <f t="shared" ca="1" si="71"/>
        <v>171.46168689060019</v>
      </c>
      <c r="J148" s="306">
        <f t="shared" ca="1" si="72"/>
        <v>159.03384808411133</v>
      </c>
      <c r="K148" s="307">
        <f t="shared" ca="1" si="73"/>
        <v>756.77759766265831</v>
      </c>
      <c r="L148" s="304">
        <f t="shared" ca="1" si="58"/>
        <v>773.30724628733731</v>
      </c>
      <c r="M148" s="306">
        <f t="shared" ca="1" si="74"/>
        <v>1.3406133746512079</v>
      </c>
      <c r="N148" s="304">
        <f t="shared" ca="1" si="75"/>
        <v>76.81148832630484</v>
      </c>
      <c r="P148" s="310">
        <f t="shared" ca="1" si="76"/>
        <v>13</v>
      </c>
      <c r="Q148" s="304">
        <f t="shared" ca="1" si="77"/>
        <v>0</v>
      </c>
      <c r="R148" s="306">
        <f t="shared" ca="1" si="78"/>
        <v>0</v>
      </c>
      <c r="S148" s="307">
        <f t="shared" ca="1" si="79"/>
        <v>2.9792999999999985</v>
      </c>
      <c r="T148" s="304">
        <f t="shared" ca="1" si="59"/>
        <v>29.226932999999988</v>
      </c>
      <c r="U148" s="311">
        <f t="shared" ca="1" si="60"/>
        <v>0</v>
      </c>
      <c r="V148" s="306">
        <f t="shared" ca="1" si="61"/>
        <v>1.1356747130883025</v>
      </c>
      <c r="W148" s="304">
        <f t="shared" ca="1" si="62"/>
        <v>68.369280508705216</v>
      </c>
      <c r="Y148" s="314" t="str">
        <f t="shared" ca="1" si="80"/>
        <v/>
      </c>
      <c r="Z148" s="315" t="str">
        <f t="shared" ca="1" si="81"/>
        <v/>
      </c>
      <c r="AA148" s="316" t="str">
        <f t="shared" ca="1" si="82"/>
        <v/>
      </c>
      <c r="AC148" s="310" t="e">
        <f t="shared" ca="1" si="83"/>
        <v>#N/A</v>
      </c>
      <c r="AD148" s="323" t="e">
        <f t="shared" ca="1" si="84"/>
        <v>#N/A</v>
      </c>
      <c r="AE148" s="324">
        <f t="shared" ca="1" si="63"/>
        <v>756.77759766265831</v>
      </c>
      <c r="AG148" s="306">
        <f t="shared" ca="1" si="85"/>
        <v>-32.590827459596781</v>
      </c>
      <c r="AH148" s="304">
        <f t="shared" ca="1" si="86"/>
        <v>-23.039277524954276</v>
      </c>
    </row>
    <row r="149" spans="1:34" x14ac:dyDescent="0.2">
      <c r="A149" s="347">
        <f t="shared" ca="1" si="64"/>
        <v>0.01</v>
      </c>
      <c r="B149" s="304">
        <f t="shared" ca="1" si="65"/>
        <v>4.6499999999999693</v>
      </c>
      <c r="D149" s="306">
        <f t="shared" ca="1" si="66"/>
        <v>-5.2357392384002219</v>
      </c>
      <c r="E149" s="307">
        <f t="shared" ca="1" si="67"/>
        <v>-32.152838302700218</v>
      </c>
      <c r="F149" s="304">
        <f t="shared" ca="1" si="68"/>
        <v>32.576340744351718</v>
      </c>
      <c r="G149" s="306">
        <f t="shared" ca="1" si="69"/>
        <v>39.067595928605137</v>
      </c>
      <c r="H149" s="307">
        <f t="shared" ca="1" si="70"/>
        <v>166.61779988785662</v>
      </c>
      <c r="I149" s="304">
        <f t="shared" ca="1" si="71"/>
        <v>171.13669475337718</v>
      </c>
      <c r="J149" s="306">
        <f t="shared" ca="1" si="72"/>
        <v>159.4247858303593</v>
      </c>
      <c r="K149" s="307">
        <f t="shared" ca="1" si="73"/>
        <v>758.44538330345199</v>
      </c>
      <c r="L149" s="304">
        <f t="shared" ca="1" si="58"/>
        <v>775.01978154842993</v>
      </c>
      <c r="M149" s="306">
        <f t="shared" ca="1" si="74"/>
        <v>1.3404825899018553</v>
      </c>
      <c r="N149" s="304">
        <f t="shared" ca="1" si="75"/>
        <v>76.803994912142258</v>
      </c>
      <c r="P149" s="310">
        <f t="shared" ca="1" si="76"/>
        <v>13</v>
      </c>
      <c r="Q149" s="304">
        <f t="shared" ca="1" si="77"/>
        <v>0</v>
      </c>
      <c r="R149" s="306">
        <f t="shared" ca="1" si="78"/>
        <v>0</v>
      </c>
      <c r="S149" s="307">
        <f t="shared" ca="1" si="79"/>
        <v>2.9792999999999985</v>
      </c>
      <c r="T149" s="304">
        <f t="shared" ca="1" si="59"/>
        <v>29.226932999999988</v>
      </c>
      <c r="U149" s="311">
        <f t="shared" ca="1" si="60"/>
        <v>0</v>
      </c>
      <c r="V149" s="306">
        <f t="shared" ca="1" si="61"/>
        <v>1.1354850505525791</v>
      </c>
      <c r="W149" s="304">
        <f t="shared" ca="1" si="62"/>
        <v>68.098974229942087</v>
      </c>
      <c r="Y149" s="314" t="str">
        <f t="shared" ca="1" si="80"/>
        <v/>
      </c>
      <c r="Z149" s="315" t="str">
        <f t="shared" ca="1" si="81"/>
        <v/>
      </c>
      <c r="AA149" s="316" t="str">
        <f t="shared" ca="1" si="82"/>
        <v/>
      </c>
      <c r="AC149" s="310" t="e">
        <f t="shared" ca="1" si="83"/>
        <v>#N/A</v>
      </c>
      <c r="AD149" s="323" t="e">
        <f t="shared" ca="1" si="84"/>
        <v>#N/A</v>
      </c>
      <c r="AE149" s="324">
        <f t="shared" ca="1" si="63"/>
        <v>758.44538330345199</v>
      </c>
      <c r="AG149" s="306">
        <f t="shared" ca="1" si="85"/>
        <v>-32.499360083968057</v>
      </c>
      <c r="AH149" s="304">
        <f t="shared" ca="1" si="86"/>
        <v>-22.948102073878175</v>
      </c>
    </row>
    <row r="150" spans="1:34" x14ac:dyDescent="0.2">
      <c r="A150" s="347">
        <f t="shared" ca="1" si="64"/>
        <v>0.01</v>
      </c>
      <c r="B150" s="304">
        <f t="shared" ca="1" si="65"/>
        <v>4.6599999999999691</v>
      </c>
      <c r="D150" s="306">
        <f t="shared" ca="1" si="66"/>
        <v>-5.2179496105497583</v>
      </c>
      <c r="E150" s="307">
        <f t="shared" ca="1" si="67"/>
        <v>-32.06382093191268</v>
      </c>
      <c r="F150" s="304">
        <f t="shared" ca="1" si="68"/>
        <v>32.485621602364304</v>
      </c>
      <c r="G150" s="306">
        <f t="shared" ca="1" si="69"/>
        <v>39.015416432499642</v>
      </c>
      <c r="H150" s="307">
        <f t="shared" ca="1" si="70"/>
        <v>166.29716167853749</v>
      </c>
      <c r="I150" s="304">
        <f t="shared" ca="1" si="71"/>
        <v>170.81261282978784</v>
      </c>
      <c r="J150" s="306">
        <f t="shared" ca="1" si="72"/>
        <v>159.81520089216482</v>
      </c>
      <c r="K150" s="307">
        <f t="shared" ca="1" si="73"/>
        <v>760.10995811128396</v>
      </c>
      <c r="L150" s="304">
        <f t="shared" ca="1" si="58"/>
        <v>776.72906914582563</v>
      </c>
      <c r="M150" s="306">
        <f t="shared" ca="1" si="74"/>
        <v>1.3403514838859989</v>
      </c>
      <c r="N150" s="304">
        <f t="shared" ca="1" si="75"/>
        <v>76.796483090764909</v>
      </c>
      <c r="P150" s="310">
        <f t="shared" ca="1" si="76"/>
        <v>13</v>
      </c>
      <c r="Q150" s="304">
        <f t="shared" ca="1" si="77"/>
        <v>0</v>
      </c>
      <c r="R150" s="306">
        <f t="shared" ca="1" si="78"/>
        <v>0</v>
      </c>
      <c r="S150" s="307">
        <f t="shared" ca="1" si="79"/>
        <v>2.9792999999999985</v>
      </c>
      <c r="T150" s="304">
        <f t="shared" ca="1" si="59"/>
        <v>29.226932999999988</v>
      </c>
      <c r="U150" s="311">
        <f t="shared" ca="1" si="60"/>
        <v>0</v>
      </c>
      <c r="V150" s="306">
        <f t="shared" ca="1" si="61"/>
        <v>1.1352957835420796</v>
      </c>
      <c r="W150" s="304">
        <f t="shared" ca="1" si="62"/>
        <v>67.829992046401401</v>
      </c>
      <c r="Y150" s="314" t="str">
        <f t="shared" ca="1" si="80"/>
        <v/>
      </c>
      <c r="Z150" s="315" t="str">
        <f t="shared" ca="1" si="81"/>
        <v/>
      </c>
      <c r="AA150" s="316" t="str">
        <f t="shared" ca="1" si="82"/>
        <v/>
      </c>
      <c r="AC150" s="310" t="e">
        <f t="shared" ca="1" si="83"/>
        <v>#N/A</v>
      </c>
      <c r="AD150" s="323" t="e">
        <f t="shared" ca="1" si="84"/>
        <v>#N/A</v>
      </c>
      <c r="AE150" s="324">
        <f t="shared" ca="1" si="63"/>
        <v>760.10995811128396</v>
      </c>
      <c r="AG150" s="306">
        <f t="shared" ca="1" si="85"/>
        <v>-32.408339162018478</v>
      </c>
      <c r="AH150" s="304">
        <f t="shared" ca="1" si="86"/>
        <v>-22.85737395695033</v>
      </c>
    </row>
    <row r="151" spans="1:34" x14ac:dyDescent="0.2">
      <c r="A151" s="347">
        <f t="shared" ca="1" si="64"/>
        <v>0.01</v>
      </c>
      <c r="B151" s="304">
        <f t="shared" ca="1" si="65"/>
        <v>4.6699999999999688</v>
      </c>
      <c r="D151" s="306">
        <f t="shared" ca="1" si="66"/>
        <v>-5.2002454221039169</v>
      </c>
      <c r="E151" s="307">
        <f t="shared" ca="1" si="67"/>
        <v>-31.975239610446067</v>
      </c>
      <c r="F151" s="304">
        <f t="shared" ca="1" si="68"/>
        <v>32.395346897286835</v>
      </c>
      <c r="G151" s="306">
        <f t="shared" ca="1" si="69"/>
        <v>38.963413978278602</v>
      </c>
      <c r="H151" s="307">
        <f t="shared" ca="1" si="70"/>
        <v>165.97740928243303</v>
      </c>
      <c r="I151" s="304">
        <f t="shared" ca="1" si="71"/>
        <v>170.48943668436178</v>
      </c>
      <c r="J151" s="306">
        <f t="shared" ca="1" si="72"/>
        <v>160.20509504421872</v>
      </c>
      <c r="K151" s="307">
        <f t="shared" ca="1" si="73"/>
        <v>761.77133096608884</v>
      </c>
      <c r="L151" s="304">
        <f t="shared" ca="1" si="58"/>
        <v>778.43511814407088</v>
      </c>
      <c r="M151" s="306">
        <f t="shared" ca="1" si="74"/>
        <v>1.3402200559027779</v>
      </c>
      <c r="N151" s="304">
        <f t="shared" ca="1" si="75"/>
        <v>76.788952822016427</v>
      </c>
      <c r="P151" s="310">
        <f t="shared" ca="1" si="76"/>
        <v>13</v>
      </c>
      <c r="Q151" s="304">
        <f t="shared" ca="1" si="77"/>
        <v>0</v>
      </c>
      <c r="R151" s="306">
        <f t="shared" ca="1" si="78"/>
        <v>0</v>
      </c>
      <c r="S151" s="307">
        <f t="shared" ca="1" si="79"/>
        <v>2.9792999999999985</v>
      </c>
      <c r="T151" s="304">
        <f t="shared" ca="1" si="59"/>
        <v>29.226932999999988</v>
      </c>
      <c r="U151" s="311">
        <f t="shared" ca="1" si="60"/>
        <v>0</v>
      </c>
      <c r="V151" s="306">
        <f t="shared" ca="1" si="61"/>
        <v>1.1351069108644269</v>
      </c>
      <c r="W151" s="304">
        <f t="shared" ca="1" si="62"/>
        <v>67.56232538132393</v>
      </c>
      <c r="Y151" s="314" t="str">
        <f t="shared" ca="1" si="80"/>
        <v/>
      </c>
      <c r="Z151" s="315" t="str">
        <f t="shared" ca="1" si="81"/>
        <v/>
      </c>
      <c r="AA151" s="316" t="str">
        <f t="shared" ca="1" si="82"/>
        <v/>
      </c>
      <c r="AC151" s="310" t="e">
        <f t="shared" ca="1" si="83"/>
        <v>#N/A</v>
      </c>
      <c r="AD151" s="323" t="e">
        <f t="shared" ca="1" si="84"/>
        <v>#N/A</v>
      </c>
      <c r="AE151" s="324">
        <f t="shared" ca="1" si="63"/>
        <v>761.77133096608884</v>
      </c>
      <c r="AG151" s="306">
        <f t="shared" ca="1" si="85"/>
        <v>-32.317761788491495</v>
      </c>
      <c r="AH151" s="304">
        <f t="shared" ca="1" si="86"/>
        <v>-22.767090271675038</v>
      </c>
    </row>
    <row r="152" spans="1:34" x14ac:dyDescent="0.2">
      <c r="A152" s="347">
        <f t="shared" ca="1" si="64"/>
        <v>0.01</v>
      </c>
      <c r="B152" s="304">
        <f t="shared" ca="1" si="65"/>
        <v>4.6799999999999686</v>
      </c>
      <c r="D152" s="306">
        <f t="shared" ca="1" si="66"/>
        <v>-5.1826261164456691</v>
      </c>
      <c r="E152" s="307">
        <f t="shared" ca="1" si="67"/>
        <v>-31.887091513764034</v>
      </c>
      <c r="F152" s="304">
        <f t="shared" ca="1" si="68"/>
        <v>32.305513750287687</v>
      </c>
      <c r="G152" s="306">
        <f t="shared" ca="1" si="69"/>
        <v>38.911587717114145</v>
      </c>
      <c r="H152" s="307">
        <f t="shared" ca="1" si="70"/>
        <v>165.65853836729539</v>
      </c>
      <c r="I152" s="304">
        <f t="shared" ca="1" si="71"/>
        <v>170.16716191044424</v>
      </c>
      <c r="J152" s="306">
        <f t="shared" ca="1" si="72"/>
        <v>160.5944700526957</v>
      </c>
      <c r="K152" s="307">
        <f t="shared" ca="1" si="73"/>
        <v>763.42951070433753</v>
      </c>
      <c r="L152" s="304">
        <f t="shared" ca="1" si="58"/>
        <v>780.13793756346092</v>
      </c>
      <c r="M152" s="306">
        <f t="shared" ca="1" si="74"/>
        <v>1.3400883052486918</v>
      </c>
      <c r="N152" s="304">
        <f t="shared" ca="1" si="75"/>
        <v>76.781404065589214</v>
      </c>
      <c r="P152" s="310">
        <f t="shared" ca="1" si="76"/>
        <v>13</v>
      </c>
      <c r="Q152" s="304">
        <f t="shared" ca="1" si="77"/>
        <v>0</v>
      </c>
      <c r="R152" s="306">
        <f t="shared" ca="1" si="78"/>
        <v>0</v>
      </c>
      <c r="S152" s="307">
        <f t="shared" ca="1" si="79"/>
        <v>2.9792999999999985</v>
      </c>
      <c r="T152" s="304">
        <f t="shared" ca="1" si="59"/>
        <v>29.226932999999988</v>
      </c>
      <c r="U152" s="311">
        <f t="shared" ca="1" si="60"/>
        <v>0</v>
      </c>
      <c r="V152" s="306">
        <f t="shared" ca="1" si="61"/>
        <v>1.1349184313332554</v>
      </c>
      <c r="W152" s="304">
        <f t="shared" ca="1" si="62"/>
        <v>67.295965727903507</v>
      </c>
      <c r="Y152" s="314" t="str">
        <f t="shared" ca="1" si="80"/>
        <v/>
      </c>
      <c r="Z152" s="315" t="str">
        <f t="shared" ca="1" si="81"/>
        <v/>
      </c>
      <c r="AA152" s="316" t="str">
        <f t="shared" ca="1" si="82"/>
        <v/>
      </c>
      <c r="AC152" s="310" t="e">
        <f t="shared" ca="1" si="83"/>
        <v>#N/A</v>
      </c>
      <c r="AD152" s="323" t="e">
        <f t="shared" ca="1" si="84"/>
        <v>#N/A</v>
      </c>
      <c r="AE152" s="324">
        <f t="shared" ca="1" si="63"/>
        <v>763.42951070433753</v>
      </c>
      <c r="AG152" s="306">
        <f t="shared" ca="1" si="85"/>
        <v>-32.227625081830681</v>
      </c>
      <c r="AH152" s="304">
        <f t="shared" ca="1" si="86"/>
        <v>-22.677248139268944</v>
      </c>
    </row>
    <row r="153" spans="1:34" x14ac:dyDescent="0.2">
      <c r="A153" s="347">
        <f t="shared" ca="1" si="64"/>
        <v>0.01</v>
      </c>
      <c r="B153" s="304">
        <f t="shared" ca="1" si="65"/>
        <v>4.6899999999999684</v>
      </c>
      <c r="D153" s="306">
        <f t="shared" ca="1" si="66"/>
        <v>-5.1650911414946288</v>
      </c>
      <c r="E153" s="307">
        <f t="shared" ca="1" si="67"/>
        <v>-31.799373840367259</v>
      </c>
      <c r="F153" s="304">
        <f t="shared" ca="1" si="68"/>
        <v>32.216119306014804</v>
      </c>
      <c r="G153" s="306">
        <f t="shared" ca="1" si="69"/>
        <v>38.859936805699199</v>
      </c>
      <c r="H153" s="307">
        <f t="shared" ca="1" si="70"/>
        <v>165.34054462889171</v>
      </c>
      <c r="I153" s="304">
        <f t="shared" ca="1" si="71"/>
        <v>169.84578412996146</v>
      </c>
      <c r="J153" s="306">
        <f t="shared" ca="1" si="72"/>
        <v>160.98332767530977</v>
      </c>
      <c r="K153" s="307">
        <f t="shared" ca="1" si="73"/>
        <v>765.08450611931846</v>
      </c>
      <c r="L153" s="304">
        <f t="shared" ca="1" si="58"/>
        <v>781.83753638032601</v>
      </c>
      <c r="M153" s="306">
        <f t="shared" ca="1" si="74"/>
        <v>1.339956231217591</v>
      </c>
      <c r="N153" s="304">
        <f t="shared" ca="1" si="75"/>
        <v>76.773836781023846</v>
      </c>
      <c r="P153" s="310">
        <f t="shared" ca="1" si="76"/>
        <v>13</v>
      </c>
      <c r="Q153" s="304">
        <f t="shared" ca="1" si="77"/>
        <v>0</v>
      </c>
      <c r="R153" s="306">
        <f t="shared" ca="1" si="78"/>
        <v>0</v>
      </c>
      <c r="S153" s="307">
        <f t="shared" ca="1" si="79"/>
        <v>2.9792999999999985</v>
      </c>
      <c r="T153" s="304">
        <f t="shared" ca="1" si="59"/>
        <v>29.226932999999988</v>
      </c>
      <c r="U153" s="311">
        <f t="shared" ca="1" si="60"/>
        <v>0</v>
      </c>
      <c r="V153" s="306">
        <f t="shared" ca="1" si="61"/>
        <v>1.1347303437681682</v>
      </c>
      <c r="W153" s="304">
        <f t="shared" ca="1" si="62"/>
        <v>67.030904648601705</v>
      </c>
      <c r="Y153" s="314" t="str">
        <f t="shared" ca="1" si="80"/>
        <v/>
      </c>
      <c r="Z153" s="315" t="str">
        <f t="shared" ca="1" si="81"/>
        <v/>
      </c>
      <c r="AA153" s="316" t="str">
        <f t="shared" ca="1" si="82"/>
        <v/>
      </c>
      <c r="AC153" s="310" t="e">
        <f t="shared" ca="1" si="83"/>
        <v>#N/A</v>
      </c>
      <c r="AD153" s="323" t="e">
        <f t="shared" ca="1" si="84"/>
        <v>#N/A</v>
      </c>
      <c r="AE153" s="324">
        <f t="shared" ca="1" si="63"/>
        <v>765.08450611931846</v>
      </c>
      <c r="AG153" s="306">
        <f t="shared" ca="1" si="85"/>
        <v>-32.137926183946952</v>
      </c>
      <c r="AH153" s="304">
        <f t="shared" ca="1" si="86"/>
        <v>-22.587844704428402</v>
      </c>
    </row>
    <row r="154" spans="1:34" x14ac:dyDescent="0.2">
      <c r="A154" s="347">
        <f t="shared" ca="1" si="64"/>
        <v>0.01</v>
      </c>
      <c r="B154" s="304">
        <f t="shared" ca="1" si="65"/>
        <v>4.6999999999999682</v>
      </c>
      <c r="D154" s="306">
        <f t="shared" ca="1" si="66"/>
        <v>-5.1476399496625733</v>
      </c>
      <c r="E154" s="307">
        <f t="shared" ca="1" si="67"/>
        <v>-31.712083811567751</v>
      </c>
      <c r="F154" s="304">
        <f t="shared" ca="1" si="68"/>
        <v>32.127160732365681</v>
      </c>
      <c r="G154" s="306">
        <f t="shared" ca="1" si="69"/>
        <v>38.80846040620257</v>
      </c>
      <c r="H154" s="307">
        <f t="shared" ca="1" si="70"/>
        <v>165.02342379077604</v>
      </c>
      <c r="I154" s="304">
        <f t="shared" ca="1" si="71"/>
        <v>169.52529899318822</v>
      </c>
      <c r="J154" s="306">
        <f t="shared" ca="1" si="72"/>
        <v>161.37166966136928</v>
      </c>
      <c r="K154" s="307">
        <f t="shared" ca="1" si="73"/>
        <v>766.73632596141681</v>
      </c>
      <c r="L154" s="304">
        <f t="shared" ca="1" si="58"/>
        <v>783.53392352731612</v>
      </c>
      <c r="M154" s="306">
        <f t="shared" ca="1" si="74"/>
        <v>1.3398238331006667</v>
      </c>
      <c r="N154" s="304">
        <f t="shared" ca="1" si="75"/>
        <v>76.766250927708612</v>
      </c>
      <c r="P154" s="310">
        <f t="shared" ca="1" si="76"/>
        <v>13</v>
      </c>
      <c r="Q154" s="304">
        <f t="shared" ca="1" si="77"/>
        <v>0</v>
      </c>
      <c r="R154" s="306">
        <f t="shared" ca="1" si="78"/>
        <v>0</v>
      </c>
      <c r="S154" s="307">
        <f t="shared" ca="1" si="79"/>
        <v>2.9792999999999985</v>
      </c>
      <c r="T154" s="304">
        <f t="shared" ca="1" si="59"/>
        <v>29.226932999999988</v>
      </c>
      <c r="U154" s="311">
        <f t="shared" ca="1" si="60"/>
        <v>0</v>
      </c>
      <c r="V154" s="306">
        <f t="shared" ca="1" si="61"/>
        <v>1.1345426469947004</v>
      </c>
      <c r="W154" s="304">
        <f t="shared" ca="1" si="62"/>
        <v>66.767133774470295</v>
      </c>
      <c r="Y154" s="314" t="str">
        <f t="shared" ca="1" si="80"/>
        <v/>
      </c>
      <c r="Z154" s="315" t="str">
        <f t="shared" ca="1" si="81"/>
        <v/>
      </c>
      <c r="AA154" s="316" t="str">
        <f t="shared" ca="1" si="82"/>
        <v>Satellite</v>
      </c>
      <c r="AC154" s="310" t="e">
        <f t="shared" ca="1" si="83"/>
        <v>#N/A</v>
      </c>
      <c r="AD154" s="323" t="e">
        <f t="shared" ca="1" si="84"/>
        <v>#N/A</v>
      </c>
      <c r="AE154" s="324">
        <f t="shared" ca="1" si="63"/>
        <v>766.73632596141681</v>
      </c>
      <c r="AG154" s="306">
        <f t="shared" ca="1" si="85"/>
        <v>-32.048662259988518</v>
      </c>
      <c r="AH154" s="304">
        <f t="shared" ca="1" si="86"/>
        <v>-22.498877135099434</v>
      </c>
    </row>
    <row r="155" spans="1:34" x14ac:dyDescent="0.2">
      <c r="A155" s="347">
        <f t="shared" ca="1" si="64"/>
        <v>0.01</v>
      </c>
      <c r="B155" s="304">
        <f t="shared" ca="1" si="65"/>
        <v>4.709999999999968</v>
      </c>
      <c r="D155" s="306">
        <f t="shared" ca="1" si="66"/>
        <v>-5.1302719978094906</v>
      </c>
      <c r="E155" s="307">
        <f t="shared" ca="1" si="67"/>
        <v>-31.625218671265721</v>
      </c>
      <c r="F155" s="304">
        <f t="shared" ca="1" si="68"/>
        <v>32.038635220259962</v>
      </c>
      <c r="G155" s="306">
        <f t="shared" ca="1" si="69"/>
        <v>38.757157686224474</v>
      </c>
      <c r="H155" s="307">
        <f t="shared" ca="1" si="70"/>
        <v>164.70717160406338</v>
      </c>
      <c r="I155" s="304">
        <f t="shared" ca="1" si="71"/>
        <v>169.20570217851775</v>
      </c>
      <c r="J155" s="306">
        <f t="shared" ca="1" si="72"/>
        <v>161.75949775183142</v>
      </c>
      <c r="K155" s="307">
        <f t="shared" ca="1" si="73"/>
        <v>768.38497893839099</v>
      </c>
      <c r="L155" s="304">
        <f t="shared" ca="1" si="58"/>
        <v>785.22710789368216</v>
      </c>
      <c r="M155" s="306">
        <f t="shared" ca="1" si="74"/>
        <v>1.3396911101864393</v>
      </c>
      <c r="N155" s="304">
        <f t="shared" ca="1" si="75"/>
        <v>76.758646464878694</v>
      </c>
      <c r="P155" s="310">
        <f t="shared" ca="1" si="76"/>
        <v>13</v>
      </c>
      <c r="Q155" s="304">
        <f t="shared" ca="1" si="77"/>
        <v>0</v>
      </c>
      <c r="R155" s="306">
        <f t="shared" ca="1" si="78"/>
        <v>0</v>
      </c>
      <c r="S155" s="307">
        <f t="shared" ca="1" si="79"/>
        <v>2.9792999999999985</v>
      </c>
      <c r="T155" s="304">
        <f t="shared" ca="1" si="59"/>
        <v>29.226932999999988</v>
      </c>
      <c r="U155" s="311">
        <f t="shared" ca="1" si="60"/>
        <v>0</v>
      </c>
      <c r="V155" s="306">
        <f t="shared" ca="1" si="61"/>
        <v>1.1343553398442789</v>
      </c>
      <c r="W155" s="304">
        <f t="shared" ca="1" si="62"/>
        <v>66.504644804481586</v>
      </c>
      <c r="Y155" s="314" t="str">
        <f t="shared" ca="1" si="80"/>
        <v/>
      </c>
      <c r="Z155" s="315" t="str">
        <f t="shared" ca="1" si="81"/>
        <v/>
      </c>
      <c r="AA155" s="316" t="str">
        <f t="shared" ca="1" si="82"/>
        <v/>
      </c>
      <c r="AC155" s="310" t="e">
        <f t="shared" ca="1" si="83"/>
        <v>#N/A</v>
      </c>
      <c r="AD155" s="323" t="e">
        <f t="shared" ca="1" si="84"/>
        <v>#N/A</v>
      </c>
      <c r="AE155" s="324">
        <f t="shared" ca="1" si="63"/>
        <v>768.38497893839099</v>
      </c>
      <c r="AG155" s="306">
        <f t="shared" ca="1" si="85"/>
        <v>-31.959830498113377</v>
      </c>
      <c r="AH155" s="304">
        <f t="shared" ca="1" si="86"/>
        <v>-22.410342622250305</v>
      </c>
    </row>
    <row r="156" spans="1:34" x14ac:dyDescent="0.2">
      <c r="A156" s="347">
        <f t="shared" ca="1" si="64"/>
        <v>0.01</v>
      </c>
      <c r="B156" s="304">
        <f t="shared" ca="1" si="65"/>
        <v>4.7199999999999678</v>
      </c>
      <c r="D156" s="306">
        <f t="shared" ca="1" si="66"/>
        <v>-5.1129867472001793</v>
      </c>
      <c r="E156" s="307">
        <f t="shared" ca="1" si="67"/>
        <v>-31.538775685729064</v>
      </c>
      <c r="F156" s="304">
        <f t="shared" ca="1" si="68"/>
        <v>31.950539983414668</v>
      </c>
      <c r="G156" s="306">
        <f t="shared" ca="1" si="69"/>
        <v>38.706027818752474</v>
      </c>
      <c r="H156" s="307">
        <f t="shared" ca="1" si="70"/>
        <v>164.39178384720609</v>
      </c>
      <c r="I156" s="304">
        <f t="shared" ca="1" si="71"/>
        <v>168.88698939223403</v>
      </c>
      <c r="J156" s="306">
        <f t="shared" ca="1" si="72"/>
        <v>162.14681367935631</v>
      </c>
      <c r="K156" s="307">
        <f t="shared" ca="1" si="73"/>
        <v>770.0304737156473</v>
      </c>
      <c r="L156" s="304">
        <f t="shared" ca="1" si="58"/>
        <v>786.91709832555557</v>
      </c>
      <c r="M156" s="306">
        <f t="shared" ca="1" si="74"/>
        <v>1.3395580617607492</v>
      </c>
      <c r="N156" s="304">
        <f t="shared" ca="1" si="75"/>
        <v>76.7510233516158</v>
      </c>
      <c r="P156" s="310">
        <f t="shared" ca="1" si="76"/>
        <v>13</v>
      </c>
      <c r="Q156" s="304">
        <f t="shared" ca="1" si="77"/>
        <v>0</v>
      </c>
      <c r="R156" s="306">
        <f t="shared" ca="1" si="78"/>
        <v>0</v>
      </c>
      <c r="S156" s="307">
        <f t="shared" ca="1" si="79"/>
        <v>2.9792999999999985</v>
      </c>
      <c r="T156" s="304">
        <f t="shared" ca="1" si="59"/>
        <v>29.226932999999988</v>
      </c>
      <c r="U156" s="311">
        <f t="shared" ca="1" si="60"/>
        <v>0</v>
      </c>
      <c r="V156" s="306">
        <f t="shared" ca="1" si="61"/>
        <v>1.1341684211541825</v>
      </c>
      <c r="W156" s="304">
        <f t="shared" ca="1" si="62"/>
        <v>66.243429504866299</v>
      </c>
      <c r="Y156" s="314" t="str">
        <f t="shared" ca="1" si="80"/>
        <v/>
      </c>
      <c r="Z156" s="315" t="str">
        <f t="shared" ca="1" si="81"/>
        <v/>
      </c>
      <c r="AA156" s="316" t="str">
        <f t="shared" ca="1" si="82"/>
        <v/>
      </c>
      <c r="AC156" s="310" t="e">
        <f t="shared" ca="1" si="83"/>
        <v>#N/A</v>
      </c>
      <c r="AD156" s="323" t="e">
        <f t="shared" ca="1" si="84"/>
        <v>#N/A</v>
      </c>
      <c r="AE156" s="324">
        <f t="shared" ca="1" si="63"/>
        <v>770.0304737156473</v>
      </c>
      <c r="AG156" s="306">
        <f t="shared" ca="1" si="85"/>
        <v>-31.871428109264521</v>
      </c>
      <c r="AH156" s="304">
        <f t="shared" ca="1" si="86"/>
        <v>-22.32223837964677</v>
      </c>
    </row>
    <row r="157" spans="1:34" x14ac:dyDescent="0.2">
      <c r="A157" s="347">
        <f t="shared" ca="1" si="64"/>
        <v>0.01</v>
      </c>
      <c r="B157" s="304">
        <f t="shared" ca="1" si="65"/>
        <v>4.7299999999999676</v>
      </c>
      <c r="D157" s="306">
        <f t="shared" ca="1" si="66"/>
        <v>-5.0957836634612699</v>
      </c>
      <c r="E157" s="307">
        <f t="shared" ca="1" si="67"/>
        <v>-31.452752143375292</v>
      </c>
      <c r="F157" s="304">
        <f t="shared" ca="1" si="68"/>
        <v>31.862872258121957</v>
      </c>
      <c r="G157" s="306">
        <f t="shared" ca="1" si="69"/>
        <v>38.655069982117858</v>
      </c>
      <c r="H157" s="307">
        <f t="shared" ca="1" si="70"/>
        <v>164.07725632577234</v>
      </c>
      <c r="I157" s="304">
        <f t="shared" ca="1" si="71"/>
        <v>168.56915636828592</v>
      </c>
      <c r="J157" s="306">
        <f t="shared" ca="1" si="72"/>
        <v>162.53361916836067</v>
      </c>
      <c r="K157" s="307">
        <f t="shared" ca="1" si="73"/>
        <v>771.67281891651214</v>
      </c>
      <c r="L157" s="304">
        <f t="shared" ca="1" si="58"/>
        <v>788.60390362622593</v>
      </c>
      <c r="M157" s="306">
        <f t="shared" ca="1" si="74"/>
        <v>1.3394246871067463</v>
      </c>
      <c r="N157" s="304">
        <f t="shared" ca="1" si="75"/>
        <v>76.743381546847417</v>
      </c>
      <c r="P157" s="310">
        <f t="shared" ca="1" si="76"/>
        <v>13</v>
      </c>
      <c r="Q157" s="304">
        <f t="shared" ca="1" si="77"/>
        <v>0</v>
      </c>
      <c r="R157" s="306">
        <f t="shared" ca="1" si="78"/>
        <v>0</v>
      </c>
      <c r="S157" s="307">
        <f t="shared" ca="1" si="79"/>
        <v>2.9792999999999985</v>
      </c>
      <c r="T157" s="304">
        <f t="shared" ca="1" si="59"/>
        <v>29.226932999999988</v>
      </c>
      <c r="U157" s="311">
        <f t="shared" ca="1" si="60"/>
        <v>0</v>
      </c>
      <c r="V157" s="306">
        <f t="shared" ca="1" si="61"/>
        <v>1.1339818897675056</v>
      </c>
      <c r="W157" s="304">
        <f t="shared" ca="1" si="62"/>
        <v>65.983479708458958</v>
      </c>
      <c r="Y157" s="314" t="str">
        <f t="shared" ca="1" si="80"/>
        <v/>
      </c>
      <c r="Z157" s="315" t="str">
        <f t="shared" ca="1" si="81"/>
        <v/>
      </c>
      <c r="AA157" s="316" t="str">
        <f t="shared" ca="1" si="82"/>
        <v/>
      </c>
      <c r="AC157" s="310" t="e">
        <f t="shared" ca="1" si="83"/>
        <v>#N/A</v>
      </c>
      <c r="AD157" s="323" t="e">
        <f t="shared" ca="1" si="84"/>
        <v>#N/A</v>
      </c>
      <c r="AE157" s="324">
        <f t="shared" ca="1" si="63"/>
        <v>771.67281891651214</v>
      </c>
      <c r="AG157" s="306">
        <f t="shared" ca="1" si="85"/>
        <v>-31.783452326947604</v>
      </c>
      <c r="AH157" s="304">
        <f t="shared" ca="1" si="86"/>
        <v>-22.234561643629824</v>
      </c>
    </row>
    <row r="158" spans="1:34" x14ac:dyDescent="0.2">
      <c r="A158" s="347">
        <f t="shared" ca="1" si="64"/>
        <v>0.01</v>
      </c>
      <c r="B158" s="304">
        <f t="shared" ca="1" si="65"/>
        <v>4.7399999999999674</v>
      </c>
      <c r="D158" s="306">
        <f t="shared" ca="1" si="66"/>
        <v>-5.0786622165387705</v>
      </c>
      <c r="E158" s="307">
        <f t="shared" ca="1" si="67"/>
        <v>-31.367145354555952</v>
      </c>
      <c r="F158" s="304">
        <f t="shared" ca="1" si="68"/>
        <v>31.775629303029383</v>
      </c>
      <c r="G158" s="306">
        <f t="shared" ca="1" si="69"/>
        <v>38.604283359952468</v>
      </c>
      <c r="H158" s="307">
        <f t="shared" ca="1" si="70"/>
        <v>163.76358487222677</v>
      </c>
      <c r="I158" s="304">
        <f t="shared" ca="1" si="71"/>
        <v>168.25219886806391</v>
      </c>
      <c r="J158" s="306">
        <f t="shared" ca="1" si="72"/>
        <v>162.91991593507103</v>
      </c>
      <c r="K158" s="307">
        <f t="shared" ca="1" si="73"/>
        <v>773.31202312250218</v>
      </c>
      <c r="L158" s="304">
        <f t="shared" ca="1" si="58"/>
        <v>790.28753255641573</v>
      </c>
      <c r="M158" s="306">
        <f t="shared" ca="1" si="74"/>
        <v>1.3392909855048782</v>
      </c>
      <c r="N158" s="304">
        <f t="shared" ca="1" si="75"/>
        <v>76.735721009346236</v>
      </c>
      <c r="P158" s="310">
        <f t="shared" ca="1" si="76"/>
        <v>13</v>
      </c>
      <c r="Q158" s="304">
        <f t="shared" ca="1" si="77"/>
        <v>0</v>
      </c>
      <c r="R158" s="306">
        <f t="shared" ca="1" si="78"/>
        <v>0</v>
      </c>
      <c r="S158" s="307">
        <f t="shared" ca="1" si="79"/>
        <v>2.9792999999999985</v>
      </c>
      <c r="T158" s="304">
        <f t="shared" ca="1" si="59"/>
        <v>29.226932999999988</v>
      </c>
      <c r="U158" s="311">
        <f t="shared" ca="1" si="60"/>
        <v>0</v>
      </c>
      <c r="V158" s="306">
        <f t="shared" ca="1" si="61"/>
        <v>1.1337957445331173</v>
      </c>
      <c r="W158" s="304">
        <f t="shared" ca="1" si="62"/>
        <v>65.724787314050744</v>
      </c>
      <c r="Y158" s="314" t="str">
        <f t="shared" ca="1" si="80"/>
        <v/>
      </c>
      <c r="Z158" s="315" t="str">
        <f t="shared" ca="1" si="81"/>
        <v/>
      </c>
      <c r="AA158" s="316" t="str">
        <f t="shared" ca="1" si="82"/>
        <v/>
      </c>
      <c r="AC158" s="310" t="e">
        <f t="shared" ca="1" si="83"/>
        <v>#N/A</v>
      </c>
      <c r="AD158" s="323" t="e">
        <f t="shared" ca="1" si="84"/>
        <v>#N/A</v>
      </c>
      <c r="AE158" s="324">
        <f t="shared" ca="1" si="63"/>
        <v>773.31202312250218</v>
      </c>
      <c r="AG158" s="306">
        <f t="shared" ca="1" si="85"/>
        <v>-31.695900407011152</v>
      </c>
      <c r="AH158" s="304">
        <f t="shared" ca="1" si="86"/>
        <v>-22.147309672895979</v>
      </c>
    </row>
    <row r="159" spans="1:34" x14ac:dyDescent="0.2">
      <c r="A159" s="347">
        <f t="shared" ca="1" si="64"/>
        <v>0.01</v>
      </c>
      <c r="B159" s="304">
        <f t="shared" ca="1" si="65"/>
        <v>4.7499999999999671</v>
      </c>
      <c r="D159" s="306">
        <f t="shared" ca="1" si="66"/>
        <v>-5.0616218806561166</v>
      </c>
      <c r="E159" s="307">
        <f t="shared" ca="1" si="67"/>
        <v>-31.281952651343516</v>
      </c>
      <c r="F159" s="304">
        <f t="shared" ca="1" si="68"/>
        <v>31.68880839892271</v>
      </c>
      <c r="G159" s="306">
        <f t="shared" ca="1" si="69"/>
        <v>38.553667141145908</v>
      </c>
      <c r="H159" s="307">
        <f t="shared" ca="1" si="70"/>
        <v>163.45076534571334</v>
      </c>
      <c r="I159" s="304">
        <f t="shared" ca="1" si="71"/>
        <v>167.93611268017881</v>
      </c>
      <c r="J159" s="306">
        <f t="shared" ca="1" si="72"/>
        <v>163.30570568757653</v>
      </c>
      <c r="K159" s="307">
        <f t="shared" ca="1" si="73"/>
        <v>774.94809487359191</v>
      </c>
      <c r="L159" s="304">
        <f t="shared" ca="1" si="58"/>
        <v>791.96799383455334</v>
      </c>
      <c r="M159" s="306">
        <f t="shared" ca="1" si="74"/>
        <v>1.3391569562328816</v>
      </c>
      <c r="N159" s="304">
        <f t="shared" ca="1" si="75"/>
        <v>76.728041697729623</v>
      </c>
      <c r="P159" s="310">
        <f t="shared" ca="1" si="76"/>
        <v>13</v>
      </c>
      <c r="Q159" s="304">
        <f t="shared" ca="1" si="77"/>
        <v>0</v>
      </c>
      <c r="R159" s="306">
        <f t="shared" ca="1" si="78"/>
        <v>0</v>
      </c>
      <c r="S159" s="307">
        <f t="shared" ca="1" si="79"/>
        <v>2.9792999999999985</v>
      </c>
      <c r="T159" s="304">
        <f t="shared" ca="1" si="59"/>
        <v>29.226932999999988</v>
      </c>
      <c r="U159" s="311">
        <f t="shared" ca="1" si="60"/>
        <v>0</v>
      </c>
      <c r="V159" s="306">
        <f t="shared" ca="1" si="61"/>
        <v>1.1336099843056264</v>
      </c>
      <c r="W159" s="304">
        <f t="shared" ca="1" si="62"/>
        <v>65.467344285749917</v>
      </c>
      <c r="Y159" s="314" t="str">
        <f t="shared" ca="1" si="80"/>
        <v/>
      </c>
      <c r="Z159" s="315" t="str">
        <f t="shared" ca="1" si="81"/>
        <v/>
      </c>
      <c r="AA159" s="316" t="str">
        <f t="shared" ca="1" si="82"/>
        <v/>
      </c>
      <c r="AC159" s="310" t="e">
        <f t="shared" ca="1" si="83"/>
        <v>#N/A</v>
      </c>
      <c r="AD159" s="323" t="e">
        <f t="shared" ca="1" si="84"/>
        <v>#N/A</v>
      </c>
      <c r="AE159" s="324">
        <f t="shared" ca="1" si="63"/>
        <v>774.94809487359191</v>
      </c>
      <c r="AG159" s="306">
        <f t="shared" ca="1" si="85"/>
        <v>-31.608769627429329</v>
      </c>
      <c r="AH159" s="304">
        <f t="shared" ca="1" si="86"/>
        <v>-22.060479748280059</v>
      </c>
    </row>
    <row r="160" spans="1:34" x14ac:dyDescent="0.2">
      <c r="A160" s="347">
        <f t="shared" ca="1" si="64"/>
        <v>0.01</v>
      </c>
      <c r="B160" s="304">
        <f t="shared" ca="1" si="65"/>
        <v>4.7599999999999669</v>
      </c>
      <c r="D160" s="306">
        <f t="shared" ca="1" si="66"/>
        <v>-5.0446621342726443</v>
      </c>
      <c r="E160" s="307">
        <f t="shared" ca="1" si="67"/>
        <v>-31.197171387320743</v>
      </c>
      <c r="F160" s="304">
        <f t="shared" ca="1" si="68"/>
        <v>31.602406848511212</v>
      </c>
      <c r="G160" s="306">
        <f t="shared" ca="1" si="69"/>
        <v>38.503220519803179</v>
      </c>
      <c r="H160" s="307">
        <f t="shared" ca="1" si="70"/>
        <v>163.13879363184012</v>
      </c>
      <c r="I160" s="304">
        <f t="shared" ca="1" si="71"/>
        <v>167.62089362024267</v>
      </c>
      <c r="J160" s="306">
        <f t="shared" ca="1" si="72"/>
        <v>163.69099012588129</v>
      </c>
      <c r="K160" s="307">
        <f t="shared" ca="1" si="73"/>
        <v>776.58104266847965</v>
      </c>
      <c r="L160" s="304">
        <f t="shared" ca="1" si="58"/>
        <v>793.64529613704281</v>
      </c>
      <c r="M160" s="306">
        <f t="shared" ca="1" si="74"/>
        <v>1.3390225985657693</v>
      </c>
      <c r="N160" s="304">
        <f t="shared" ca="1" si="75"/>
        <v>76.720343570458866</v>
      </c>
      <c r="P160" s="310">
        <f t="shared" ca="1" si="76"/>
        <v>13</v>
      </c>
      <c r="Q160" s="304">
        <f t="shared" ca="1" si="77"/>
        <v>0</v>
      </c>
      <c r="R160" s="306">
        <f t="shared" ca="1" si="78"/>
        <v>0</v>
      </c>
      <c r="S160" s="307">
        <f t="shared" ca="1" si="79"/>
        <v>2.9792999999999985</v>
      </c>
      <c r="T160" s="304">
        <f t="shared" ca="1" si="59"/>
        <v>29.226932999999988</v>
      </c>
      <c r="U160" s="311">
        <f t="shared" ca="1" si="60"/>
        <v>0</v>
      </c>
      <c r="V160" s="306">
        <f t="shared" ca="1" si="61"/>
        <v>1.1334246079453405</v>
      </c>
      <c r="W160" s="304">
        <f t="shared" ca="1" si="62"/>
        <v>65.21114265234894</v>
      </c>
      <c r="Y160" s="314" t="str">
        <f t="shared" ca="1" si="80"/>
        <v/>
      </c>
      <c r="Z160" s="315" t="str">
        <f t="shared" ca="1" si="81"/>
        <v/>
      </c>
      <c r="AA160" s="316" t="str">
        <f t="shared" ca="1" si="82"/>
        <v/>
      </c>
      <c r="AC160" s="310" t="e">
        <f t="shared" ca="1" si="83"/>
        <v>#N/A</v>
      </c>
      <c r="AD160" s="323" t="e">
        <f t="shared" ca="1" si="84"/>
        <v>#N/A</v>
      </c>
      <c r="AE160" s="324">
        <f t="shared" ca="1" si="63"/>
        <v>776.58104266847965</v>
      </c>
      <c r="AG160" s="306">
        <f t="shared" ca="1" si="85"/>
        <v>-31.522057288087147</v>
      </c>
      <c r="AH160" s="304">
        <f t="shared" ca="1" si="86"/>
        <v>-21.974069172540514</v>
      </c>
    </row>
    <row r="161" spans="1:34" x14ac:dyDescent="0.2">
      <c r="A161" s="347">
        <f t="shared" ca="1" si="64"/>
        <v>0.01</v>
      </c>
      <c r="B161" s="304">
        <f t="shared" ca="1" si="65"/>
        <v>4.7699999999999667</v>
      </c>
      <c r="D161" s="306">
        <f t="shared" ca="1" si="66"/>
        <v>-5.0277824600425873</v>
      </c>
      <c r="E161" s="307">
        <f t="shared" ca="1" si="67"/>
        <v>-31.112798937372268</v>
      </c>
      <c r="F161" s="304">
        <f t="shared" ca="1" si="68"/>
        <v>31.51642197621527</v>
      </c>
      <c r="G161" s="306">
        <f t="shared" ca="1" si="69"/>
        <v>38.452942695202751</v>
      </c>
      <c r="H161" s="307">
        <f t="shared" ca="1" si="70"/>
        <v>162.8276656424664</v>
      </c>
      <c r="I161" s="304">
        <f t="shared" ca="1" si="71"/>
        <v>167.30653753065172</v>
      </c>
      <c r="J161" s="306">
        <f t="shared" ca="1" si="72"/>
        <v>164.07577094195631</v>
      </c>
      <c r="K161" s="307">
        <f t="shared" ca="1" si="73"/>
        <v>778.2108749648512</v>
      </c>
      <c r="L161" s="304">
        <f t="shared" ca="1" si="58"/>
        <v>795.31944809853394</v>
      </c>
      <c r="M161" s="306">
        <f t="shared" ca="1" si="74"/>
        <v>1.3388879117758219</v>
      </c>
      <c r="N161" s="304">
        <f t="shared" ca="1" si="75"/>
        <v>76.712626585838706</v>
      </c>
      <c r="P161" s="310">
        <f t="shared" ca="1" si="76"/>
        <v>13</v>
      </c>
      <c r="Q161" s="304">
        <f t="shared" ca="1" si="77"/>
        <v>0</v>
      </c>
      <c r="R161" s="306">
        <f t="shared" ca="1" si="78"/>
        <v>0</v>
      </c>
      <c r="S161" s="307">
        <f t="shared" ca="1" si="79"/>
        <v>2.9792999999999985</v>
      </c>
      <c r="T161" s="304">
        <f t="shared" ca="1" si="59"/>
        <v>29.226932999999988</v>
      </c>
      <c r="U161" s="311">
        <f t="shared" ca="1" si="60"/>
        <v>0</v>
      </c>
      <c r="V161" s="306">
        <f t="shared" ca="1" si="61"/>
        <v>1.1332396143182319</v>
      </c>
      <c r="W161" s="304">
        <f t="shared" ca="1" si="62"/>
        <v>64.956174506699384</v>
      </c>
      <c r="Y161" s="314" t="str">
        <f t="shared" ca="1" si="80"/>
        <v/>
      </c>
      <c r="Z161" s="315" t="str">
        <f t="shared" ca="1" si="81"/>
        <v/>
      </c>
      <c r="AA161" s="316" t="str">
        <f t="shared" ca="1" si="82"/>
        <v/>
      </c>
      <c r="AC161" s="310" t="e">
        <f t="shared" ca="1" si="83"/>
        <v>#N/A</v>
      </c>
      <c r="AD161" s="323" t="e">
        <f t="shared" ca="1" si="84"/>
        <v>#N/A</v>
      </c>
      <c r="AE161" s="324">
        <f t="shared" ca="1" si="63"/>
        <v>778.2108749648512</v>
      </c>
      <c r="AG161" s="306">
        <f t="shared" ca="1" si="85"/>
        <v>-31.435760710568026</v>
      </c>
      <c r="AH161" s="304">
        <f t="shared" ca="1" si="86"/>
        <v>-21.888075270147006</v>
      </c>
    </row>
    <row r="162" spans="1:34" x14ac:dyDescent="0.2">
      <c r="A162" s="347">
        <f t="shared" ca="1" si="64"/>
        <v>0.01</v>
      </c>
      <c r="B162" s="304">
        <f t="shared" ca="1" si="65"/>
        <v>4.7799999999999665</v>
      </c>
      <c r="D162" s="306">
        <f t="shared" ca="1" si="66"/>
        <v>-5.0109823447744981</v>
      </c>
      <c r="E162" s="307">
        <f t="shared" ca="1" si="67"/>
        <v>-31.028832697478741</v>
      </c>
      <c r="F162" s="304">
        <f t="shared" ca="1" si="68"/>
        <v>31.430851127956551</v>
      </c>
      <c r="G162" s="306">
        <f t="shared" ca="1" si="69"/>
        <v>38.402832871755002</v>
      </c>
      <c r="H162" s="307">
        <f t="shared" ca="1" si="70"/>
        <v>162.51737731549161</v>
      </c>
      <c r="I162" s="304">
        <f t="shared" ca="1" si="71"/>
        <v>166.99304028037162</v>
      </c>
      <c r="J162" s="306">
        <f t="shared" ca="1" si="72"/>
        <v>164.4600498197911</v>
      </c>
      <c r="K162" s="307">
        <f t="shared" ca="1" si="73"/>
        <v>779.83760017964096</v>
      </c>
      <c r="L162" s="304">
        <f t="shared" ca="1" si="58"/>
        <v>796.99045831218689</v>
      </c>
      <c r="M162" s="306">
        <f t="shared" ca="1" si="74"/>
        <v>1.3387528951325753</v>
      </c>
      <c r="N162" s="304">
        <f t="shared" ca="1" si="75"/>
        <v>76.704890702016655</v>
      </c>
      <c r="P162" s="310">
        <f t="shared" ca="1" si="76"/>
        <v>13</v>
      </c>
      <c r="Q162" s="304">
        <f t="shared" ca="1" si="77"/>
        <v>0</v>
      </c>
      <c r="R162" s="306">
        <f t="shared" ca="1" si="78"/>
        <v>0</v>
      </c>
      <c r="S162" s="307">
        <f t="shared" ca="1" si="79"/>
        <v>2.9792999999999985</v>
      </c>
      <c r="T162" s="304">
        <f t="shared" ca="1" si="59"/>
        <v>29.226932999999988</v>
      </c>
      <c r="U162" s="311">
        <f t="shared" ca="1" si="60"/>
        <v>0</v>
      </c>
      <c r="V162" s="306">
        <f t="shared" ca="1" si="61"/>
        <v>1.1330550022958985</v>
      </c>
      <c r="W162" s="304">
        <f t="shared" ca="1" si="62"/>
        <v>64.702432005093485</v>
      </c>
      <c r="Y162" s="314" t="str">
        <f t="shared" ca="1" si="80"/>
        <v/>
      </c>
      <c r="Z162" s="315" t="str">
        <f t="shared" ca="1" si="81"/>
        <v/>
      </c>
      <c r="AA162" s="316" t="str">
        <f t="shared" ca="1" si="82"/>
        <v/>
      </c>
      <c r="AC162" s="310" t="e">
        <f t="shared" ca="1" si="83"/>
        <v>#N/A</v>
      </c>
      <c r="AD162" s="323" t="e">
        <f t="shared" ca="1" si="84"/>
        <v>#N/A</v>
      </c>
      <c r="AE162" s="324">
        <f t="shared" ca="1" si="63"/>
        <v>779.83760017964096</v>
      </c>
      <c r="AG162" s="306">
        <f t="shared" ca="1" si="85"/>
        <v>-31.349877237943886</v>
      </c>
      <c r="AH162" s="304">
        <f t="shared" ca="1" si="86"/>
        <v>-21.802495387070593</v>
      </c>
    </row>
    <row r="163" spans="1:34" x14ac:dyDescent="0.2">
      <c r="A163" s="347">
        <f t="shared" ca="1" si="64"/>
        <v>0.01</v>
      </c>
      <c r="B163" s="304">
        <f t="shared" ca="1" si="65"/>
        <v>4.7899999999999663</v>
      </c>
      <c r="D163" s="306">
        <f t="shared" ca="1" si="66"/>
        <v>-4.9942612793911492</v>
      </c>
      <c r="E163" s="307">
        <f t="shared" ca="1" si="67"/>
        <v>-30.94527008451314</v>
      </c>
      <c r="F163" s="304">
        <f t="shared" ca="1" si="68"/>
        <v>31.345691670950405</v>
      </c>
      <c r="G163" s="306">
        <f t="shared" ca="1" si="69"/>
        <v>38.352890258961089</v>
      </c>
      <c r="H163" s="307">
        <f t="shared" ca="1" si="70"/>
        <v>162.20792461464649</v>
      </c>
      <c r="I163" s="304">
        <f t="shared" ca="1" si="71"/>
        <v>166.68039776472443</v>
      </c>
      <c r="J163" s="306">
        <f t="shared" ca="1" si="72"/>
        <v>164.84382843544466</v>
      </c>
      <c r="K163" s="307">
        <f t="shared" ca="1" si="73"/>
        <v>781.46122668929161</v>
      </c>
      <c r="L163" s="304">
        <f t="shared" ca="1" si="58"/>
        <v>798.65833532993736</v>
      </c>
      <c r="M163" s="306">
        <f t="shared" ca="1" si="74"/>
        <v>1.3386175479028106</v>
      </c>
      <c r="N163" s="304">
        <f t="shared" ca="1" si="75"/>
        <v>76.697135876982358</v>
      </c>
      <c r="P163" s="310">
        <f t="shared" ca="1" si="76"/>
        <v>13</v>
      </c>
      <c r="Q163" s="304">
        <f t="shared" ca="1" si="77"/>
        <v>0</v>
      </c>
      <c r="R163" s="306">
        <f t="shared" ca="1" si="78"/>
        <v>0</v>
      </c>
      <c r="S163" s="307">
        <f t="shared" ca="1" si="79"/>
        <v>2.9792999999999985</v>
      </c>
      <c r="T163" s="304">
        <f t="shared" ca="1" si="59"/>
        <v>29.226932999999988</v>
      </c>
      <c r="U163" s="311">
        <f t="shared" ca="1" si="60"/>
        <v>0</v>
      </c>
      <c r="V163" s="306">
        <f t="shared" ca="1" si="61"/>
        <v>1.1328707707555281</v>
      </c>
      <c r="W163" s="304">
        <f t="shared" ca="1" si="62"/>
        <v>64.449907366652738</v>
      </c>
      <c r="Y163" s="314" t="str">
        <f t="shared" ca="1" si="80"/>
        <v/>
      </c>
      <c r="Z163" s="315" t="str">
        <f t="shared" ca="1" si="81"/>
        <v/>
      </c>
      <c r="AA163" s="316" t="str">
        <f t="shared" ca="1" si="82"/>
        <v/>
      </c>
      <c r="AC163" s="310" t="e">
        <f t="shared" ca="1" si="83"/>
        <v>#N/A</v>
      </c>
      <c r="AD163" s="323" t="e">
        <f t="shared" ca="1" si="84"/>
        <v>#N/A</v>
      </c>
      <c r="AE163" s="324">
        <f t="shared" ca="1" si="63"/>
        <v>781.46122668929161</v>
      </c>
      <c r="AG163" s="306">
        <f t="shared" ca="1" si="85"/>
        <v>-31.264404234567508</v>
      </c>
      <c r="AH163" s="304">
        <f t="shared" ca="1" si="86"/>
        <v>-21.717326890576146</v>
      </c>
    </row>
    <row r="164" spans="1:34" x14ac:dyDescent="0.2">
      <c r="A164" s="347">
        <f t="shared" ca="1" si="64"/>
        <v>0.01</v>
      </c>
      <c r="B164" s="304">
        <f t="shared" ca="1" si="65"/>
        <v>4.7999999999999661</v>
      </c>
      <c r="D164" s="306">
        <f t="shared" ca="1" si="66"/>
        <v>-4.9776187588898821</v>
      </c>
      <c r="E164" s="307">
        <f t="shared" ca="1" si="67"/>
        <v>-30.862108536039472</v>
      </c>
      <c r="F164" s="304">
        <f t="shared" ca="1" si="68"/>
        <v>31.260940993500707</v>
      </c>
      <c r="G164" s="306">
        <f t="shared" ca="1" si="69"/>
        <v>38.303114071372192</v>
      </c>
      <c r="H164" s="307">
        <f t="shared" ca="1" si="70"/>
        <v>161.8993035292861</v>
      </c>
      <c r="I164" s="304">
        <f t="shared" ca="1" si="71"/>
        <v>166.3686059051781</v>
      </c>
      <c r="J164" s="306">
        <f t="shared" ca="1" si="72"/>
        <v>165.22710845709634</v>
      </c>
      <c r="K164" s="307">
        <f t="shared" ca="1" si="73"/>
        <v>783.08176283001126</v>
      </c>
      <c r="L164" s="304">
        <f t="shared" ca="1" si="58"/>
        <v>800.32308766275833</v>
      </c>
      <c r="M164" s="306">
        <f t="shared" ca="1" si="74"/>
        <v>1.3384818693505436</v>
      </c>
      <c r="N164" s="304">
        <f t="shared" ca="1" si="75"/>
        <v>76.689362068567007</v>
      </c>
      <c r="P164" s="310">
        <f t="shared" ca="1" si="76"/>
        <v>13</v>
      </c>
      <c r="Q164" s="304">
        <f t="shared" ca="1" si="77"/>
        <v>0</v>
      </c>
      <c r="R164" s="306">
        <f t="shared" ca="1" si="78"/>
        <v>0</v>
      </c>
      <c r="S164" s="307">
        <f t="shared" ca="1" si="79"/>
        <v>2.9792999999999985</v>
      </c>
      <c r="T164" s="304">
        <f t="shared" ca="1" si="59"/>
        <v>29.226932999999988</v>
      </c>
      <c r="U164" s="311">
        <f t="shared" ca="1" si="60"/>
        <v>0</v>
      </c>
      <c r="V164" s="306">
        <f t="shared" ca="1" si="61"/>
        <v>1.1326869185798614</v>
      </c>
      <c r="W164" s="304">
        <f t="shared" ca="1" si="62"/>
        <v>64.198592872723481</v>
      </c>
      <c r="Y164" s="314" t="str">
        <f t="shared" ca="1" si="80"/>
        <v/>
      </c>
      <c r="Z164" s="315" t="str">
        <f t="shared" ca="1" si="81"/>
        <v/>
      </c>
      <c r="AA164" s="316" t="str">
        <f t="shared" ca="1" si="82"/>
        <v/>
      </c>
      <c r="AC164" s="310" t="e">
        <f t="shared" ca="1" si="83"/>
        <v>#N/A</v>
      </c>
      <c r="AD164" s="323" t="e">
        <f t="shared" ca="1" si="84"/>
        <v>#N/A</v>
      </c>
      <c r="AE164" s="324">
        <f t="shared" ca="1" si="63"/>
        <v>783.08176283001126</v>
      </c>
      <c r="AG164" s="306">
        <f t="shared" ca="1" si="85"/>
        <v>-31.179339085867284</v>
      </c>
      <c r="AH164" s="304">
        <f t="shared" ca="1" si="86"/>
        <v>-21.632567169017143</v>
      </c>
    </row>
    <row r="165" spans="1:34" x14ac:dyDescent="0.2">
      <c r="A165" s="347">
        <f t="shared" ca="1" si="64"/>
        <v>0.01</v>
      </c>
      <c r="B165" s="304">
        <f t="shared" ca="1" si="65"/>
        <v>4.8099999999999659</v>
      </c>
      <c r="D165" s="306">
        <f t="shared" ca="1" si="66"/>
        <v>-4.9610542823033787</v>
      </c>
      <c r="E165" s="307">
        <f t="shared" ca="1" si="67"/>
        <v>-30.779345510113657</v>
      </c>
      <c r="F165" s="304">
        <f t="shared" ca="1" si="68"/>
        <v>31.176596504796901</v>
      </c>
      <c r="G165" s="306">
        <f t="shared" ca="1" si="69"/>
        <v>38.25350352854916</v>
      </c>
      <c r="H165" s="307">
        <f t="shared" ca="1" si="70"/>
        <v>161.59151007418495</v>
      </c>
      <c r="I165" s="304">
        <f t="shared" ca="1" si="71"/>
        <v>166.05766064913757</v>
      </c>
      <c r="J165" s="306">
        <f t="shared" ca="1" si="72"/>
        <v>165.60989154509593</v>
      </c>
      <c r="K165" s="307">
        <f t="shared" ca="1" si="73"/>
        <v>784.69921689802857</v>
      </c>
      <c r="L165" s="304">
        <f t="shared" ca="1" si="58"/>
        <v>801.98472378091958</v>
      </c>
      <c r="M165" s="306">
        <f t="shared" ca="1" si="74"/>
        <v>1.3383458587370123</v>
      </c>
      <c r="N165" s="304">
        <f t="shared" ca="1" si="75"/>
        <v>76.681569234442676</v>
      </c>
      <c r="P165" s="310">
        <f t="shared" ca="1" si="76"/>
        <v>13</v>
      </c>
      <c r="Q165" s="304">
        <f t="shared" ca="1" si="77"/>
        <v>0</v>
      </c>
      <c r="R165" s="306">
        <f t="shared" ca="1" si="78"/>
        <v>0</v>
      </c>
      <c r="S165" s="307">
        <f t="shared" ca="1" si="79"/>
        <v>2.9792999999999985</v>
      </c>
      <c r="T165" s="304">
        <f t="shared" ca="1" si="59"/>
        <v>29.226932999999988</v>
      </c>
      <c r="U165" s="311">
        <f t="shared" ca="1" si="60"/>
        <v>0</v>
      </c>
      <c r="V165" s="306">
        <f t="shared" ca="1" si="61"/>
        <v>1.1325034446571562</v>
      </c>
      <c r="W165" s="304">
        <f t="shared" ca="1" si="62"/>
        <v>63.948480866279255</v>
      </c>
      <c r="Y165" s="314" t="str">
        <f t="shared" ca="1" si="80"/>
        <v/>
      </c>
      <c r="Z165" s="315" t="str">
        <f t="shared" ca="1" si="81"/>
        <v/>
      </c>
      <c r="AA165" s="316" t="str">
        <f t="shared" ca="1" si="82"/>
        <v/>
      </c>
      <c r="AC165" s="310" t="e">
        <f t="shared" ca="1" si="83"/>
        <v>#N/A</v>
      </c>
      <c r="AD165" s="323" t="e">
        <f t="shared" ca="1" si="84"/>
        <v>#N/A</v>
      </c>
      <c r="AE165" s="324">
        <f t="shared" ca="1" si="63"/>
        <v>784.69921689802857</v>
      </c>
      <c r="AG165" s="306">
        <f t="shared" ca="1" si="85"/>
        <v>-31.094679198144224</v>
      </c>
      <c r="AH165" s="304">
        <f t="shared" ca="1" si="86"/>
        <v>-21.54821363163277</v>
      </c>
    </row>
    <row r="166" spans="1:34" x14ac:dyDescent="0.2">
      <c r="A166" s="347">
        <f t="shared" ca="1" si="64"/>
        <v>0.01</v>
      </c>
      <c r="B166" s="304">
        <f t="shared" ca="1" si="65"/>
        <v>4.8199999999999656</v>
      </c>
      <c r="D166" s="306">
        <f t="shared" ca="1" si="66"/>
        <v>-4.9445673526609442</v>
      </c>
      <c r="E166" s="307">
        <f t="shared" ca="1" si="67"/>
        <v>-30.69697848508676</v>
      </c>
      <c r="F166" s="304">
        <f t="shared" ca="1" si="68"/>
        <v>31.092655634713481</v>
      </c>
      <c r="G166" s="306">
        <f t="shared" ca="1" si="69"/>
        <v>38.204057855022548</v>
      </c>
      <c r="H166" s="307">
        <f t="shared" ca="1" si="70"/>
        <v>161.28454028933407</v>
      </c>
      <c r="I166" s="304">
        <f t="shared" ca="1" si="71"/>
        <v>165.74755796973824</v>
      </c>
      <c r="J166" s="306">
        <f t="shared" ca="1" si="72"/>
        <v>165.99217935201381</v>
      </c>
      <c r="K166" s="307">
        <f t="shared" ca="1" si="73"/>
        <v>786.31359714984615</v>
      </c>
      <c r="L166" s="304">
        <f t="shared" ca="1" si="58"/>
        <v>803.64325211424602</v>
      </c>
      <c r="M166" s="306">
        <f t="shared" ca="1" si="74"/>
        <v>1.3382095153206686</v>
      </c>
      <c r="N166" s="304">
        <f t="shared" ca="1" si="75"/>
        <v>76.673757332121781</v>
      </c>
      <c r="P166" s="310">
        <f t="shared" ca="1" si="76"/>
        <v>13</v>
      </c>
      <c r="Q166" s="304">
        <f t="shared" ca="1" si="77"/>
        <v>0</v>
      </c>
      <c r="R166" s="306">
        <f t="shared" ca="1" si="78"/>
        <v>0</v>
      </c>
      <c r="S166" s="307">
        <f t="shared" ca="1" si="79"/>
        <v>2.9792999999999985</v>
      </c>
      <c r="T166" s="304">
        <f t="shared" ca="1" si="59"/>
        <v>29.226932999999988</v>
      </c>
      <c r="U166" s="311">
        <f t="shared" ca="1" si="60"/>
        <v>0</v>
      </c>
      <c r="V166" s="306">
        <f t="shared" ca="1" si="61"/>
        <v>1.1323203478811523</v>
      </c>
      <c r="W166" s="304">
        <f t="shared" ca="1" si="62"/>
        <v>63.699563751329791</v>
      </c>
      <c r="Y166" s="314" t="str">
        <f t="shared" ca="1" si="80"/>
        <v/>
      </c>
      <c r="Z166" s="315" t="str">
        <f t="shared" ca="1" si="81"/>
        <v/>
      </c>
      <c r="AA166" s="316" t="str">
        <f t="shared" ca="1" si="82"/>
        <v/>
      </c>
      <c r="AC166" s="310" t="e">
        <f t="shared" ca="1" si="83"/>
        <v>#N/A</v>
      </c>
      <c r="AD166" s="323" t="e">
        <f t="shared" ca="1" si="84"/>
        <v>#N/A</v>
      </c>
      <c r="AE166" s="324">
        <f t="shared" ca="1" si="63"/>
        <v>786.31359714984615</v>
      </c>
      <c r="AG166" s="306">
        <f t="shared" ca="1" si="85"/>
        <v>-31.010421998371346</v>
      </c>
      <c r="AH166" s="304">
        <f t="shared" ca="1" si="86"/>
        <v>-21.46426370834736</v>
      </c>
    </row>
    <row r="167" spans="1:34" x14ac:dyDescent="0.2">
      <c r="A167" s="347">
        <f t="shared" ca="1" si="64"/>
        <v>0.01</v>
      </c>
      <c r="B167" s="304">
        <f t="shared" ca="1" si="65"/>
        <v>4.8299999999999654</v>
      </c>
      <c r="D167" s="306">
        <f t="shared" ca="1" si="66"/>
        <v>-4.928157476950112</v>
      </c>
      <c r="E167" s="307">
        <f t="shared" ca="1" si="67"/>
        <v>-30.615004959410342</v>
      </c>
      <c r="F167" s="304">
        <f t="shared" ca="1" si="68"/>
        <v>31.00911583361156</v>
      </c>
      <c r="G167" s="306">
        <f t="shared" ca="1" si="69"/>
        <v>38.154776280253046</v>
      </c>
      <c r="H167" s="307">
        <f t="shared" ca="1" si="70"/>
        <v>160.97839023973998</v>
      </c>
      <c r="I167" s="304">
        <f t="shared" ca="1" si="71"/>
        <v>165.43829386564096</v>
      </c>
      <c r="J167" s="306">
        <f t="shared" ca="1" si="72"/>
        <v>166.37397352269019</v>
      </c>
      <c r="K167" s="307">
        <f t="shared" ca="1" si="73"/>
        <v>787.92491180249147</v>
      </c>
      <c r="L167" s="304">
        <f t="shared" ca="1" si="58"/>
        <v>805.29868105237369</v>
      </c>
      <c r="M167" s="306">
        <f t="shared" ca="1" si="74"/>
        <v>1.3380728383571641</v>
      </c>
      <c r="N167" s="304">
        <f t="shared" ca="1" si="75"/>
        <v>76.665926318956309</v>
      </c>
      <c r="P167" s="310">
        <f t="shared" ca="1" si="76"/>
        <v>13</v>
      </c>
      <c r="Q167" s="304">
        <f t="shared" ca="1" si="77"/>
        <v>0</v>
      </c>
      <c r="R167" s="306">
        <f t="shared" ca="1" si="78"/>
        <v>0</v>
      </c>
      <c r="S167" s="307">
        <f t="shared" ca="1" si="79"/>
        <v>2.9792999999999985</v>
      </c>
      <c r="T167" s="304">
        <f t="shared" ca="1" si="59"/>
        <v>29.226932999999988</v>
      </c>
      <c r="U167" s="311">
        <f t="shared" ca="1" si="60"/>
        <v>0</v>
      </c>
      <c r="V167" s="306">
        <f t="shared" ca="1" si="61"/>
        <v>1.1321376271510344</v>
      </c>
      <c r="W167" s="304">
        <f t="shared" ca="1" si="62"/>
        <v>63.451833992336546</v>
      </c>
      <c r="Y167" s="314" t="str">
        <f t="shared" ca="1" si="80"/>
        <v/>
      </c>
      <c r="Z167" s="315" t="str">
        <f t="shared" ca="1" si="81"/>
        <v/>
      </c>
      <c r="AA167" s="316" t="str">
        <f t="shared" ca="1" si="82"/>
        <v/>
      </c>
      <c r="AC167" s="310" t="e">
        <f t="shared" ca="1" si="83"/>
        <v>#N/A</v>
      </c>
      <c r="AD167" s="323" t="e">
        <f t="shared" ca="1" si="84"/>
        <v>#N/A</v>
      </c>
      <c r="AE167" s="324">
        <f t="shared" ca="1" si="63"/>
        <v>787.92491180249147</v>
      </c>
      <c r="AG167" s="306">
        <f t="shared" ca="1" si="85"/>
        <v>-30.926564933995202</v>
      </c>
      <c r="AH167" s="304">
        <f t="shared" ca="1" si="86"/>
        <v>-21.380714849571987</v>
      </c>
    </row>
    <row r="168" spans="1:34" x14ac:dyDescent="0.2">
      <c r="A168" s="347">
        <f t="shared" ca="1" si="64"/>
        <v>0.01</v>
      </c>
      <c r="B168" s="304">
        <f t="shared" ca="1" si="65"/>
        <v>4.8399999999999652</v>
      </c>
      <c r="D168" s="306">
        <f t="shared" ca="1" si="66"/>
        <v>-4.9118241660787989</v>
      </c>
      <c r="E168" s="307">
        <f t="shared" ca="1" si="67"/>
        <v>-30.533422451443975</v>
      </c>
      <c r="F168" s="304">
        <f t="shared" ca="1" si="68"/>
        <v>30.925974572142731</v>
      </c>
      <c r="G168" s="306">
        <f t="shared" ca="1" si="69"/>
        <v>38.10565803859226</v>
      </c>
      <c r="H168" s="307">
        <f t="shared" ca="1" si="70"/>
        <v>160.67305601522554</v>
      </c>
      <c r="I168" s="304">
        <f t="shared" ca="1" si="71"/>
        <v>165.12986436082946</v>
      </c>
      <c r="J168" s="306">
        <f t="shared" ca="1" si="72"/>
        <v>166.75527569428442</v>
      </c>
      <c r="K168" s="307">
        <f t="shared" ca="1" si="73"/>
        <v>789.53316903376628</v>
      </c>
      <c r="L168" s="304">
        <f t="shared" ca="1" si="58"/>
        <v>806.95101894500294</v>
      </c>
      <c r="M168" s="306">
        <f t="shared" ca="1" si="74"/>
        <v>1.337935827099342</v>
      </c>
      <c r="N168" s="304">
        <f t="shared" ca="1" si="75"/>
        <v>76.658076152137326</v>
      </c>
      <c r="P168" s="310">
        <f t="shared" ca="1" si="76"/>
        <v>13</v>
      </c>
      <c r="Q168" s="304">
        <f t="shared" ca="1" si="77"/>
        <v>0</v>
      </c>
      <c r="R168" s="306">
        <f t="shared" ca="1" si="78"/>
        <v>0</v>
      </c>
      <c r="S168" s="307">
        <f t="shared" ca="1" si="79"/>
        <v>2.9792999999999985</v>
      </c>
      <c r="T168" s="304">
        <f t="shared" ca="1" si="59"/>
        <v>29.226932999999988</v>
      </c>
      <c r="U168" s="311">
        <f t="shared" ca="1" si="60"/>
        <v>0</v>
      </c>
      <c r="V168" s="306">
        <f t="shared" ca="1" si="61"/>
        <v>1.1319552813713984</v>
      </c>
      <c r="W168" s="304">
        <f t="shared" ca="1" si="62"/>
        <v>63.20528411363501</v>
      </c>
      <c r="Y168" s="314" t="str">
        <f t="shared" ca="1" si="80"/>
        <v/>
      </c>
      <c r="Z168" s="315" t="str">
        <f t="shared" ca="1" si="81"/>
        <v/>
      </c>
      <c r="AA168" s="316" t="str">
        <f t="shared" ca="1" si="82"/>
        <v/>
      </c>
      <c r="AC168" s="310" t="e">
        <f t="shared" ca="1" si="83"/>
        <v>#N/A</v>
      </c>
      <c r="AD168" s="323" t="e">
        <f t="shared" ca="1" si="84"/>
        <v>#N/A</v>
      </c>
      <c r="AE168" s="324">
        <f t="shared" ca="1" si="63"/>
        <v>789.53316903376628</v>
      </c>
      <c r="AG168" s="306">
        <f t="shared" ca="1" si="85"/>
        <v>-30.843105472739666</v>
      </c>
      <c r="AH168" s="304">
        <f t="shared" ca="1" si="86"/>
        <v>-21.297564526008316</v>
      </c>
    </row>
    <row r="169" spans="1:34" x14ac:dyDescent="0.2">
      <c r="A169" s="347">
        <f t="shared" ca="1" si="64"/>
        <v>0.01</v>
      </c>
      <c r="B169" s="304">
        <f t="shared" ca="1" si="65"/>
        <v>4.849999999999965</v>
      </c>
      <c r="D169" s="306">
        <f t="shared" ca="1" si="66"/>
        <v>-4.8955669348377766</v>
      </c>
      <c r="E169" s="307">
        <f t="shared" ca="1" si="67"/>
        <v>-30.452228499265011</v>
      </c>
      <c r="F169" s="304">
        <f t="shared" ca="1" si="68"/>
        <v>30.843229341055146</v>
      </c>
      <c r="G169" s="306">
        <f t="shared" ca="1" si="69"/>
        <v>38.05670236924388</v>
      </c>
      <c r="H169" s="307">
        <f t="shared" ca="1" si="70"/>
        <v>160.36853373023288</v>
      </c>
      <c r="I169" s="304">
        <f t="shared" ca="1" si="71"/>
        <v>164.8222655044095</v>
      </c>
      <c r="J169" s="306">
        <f t="shared" ca="1" si="72"/>
        <v>167.1360874963236</v>
      </c>
      <c r="K169" s="307">
        <f t="shared" ca="1" si="73"/>
        <v>791.13837698249358</v>
      </c>
      <c r="L169" s="304">
        <f t="shared" ca="1" si="58"/>
        <v>808.60027410215048</v>
      </c>
      <c r="M169" s="306">
        <f t="shared" ca="1" si="74"/>
        <v>1.3377984807972239</v>
      </c>
      <c r="N169" s="304">
        <f t="shared" ca="1" si="75"/>
        <v>76.650206788694234</v>
      </c>
      <c r="P169" s="310">
        <f t="shared" ca="1" si="76"/>
        <v>13</v>
      </c>
      <c r="Q169" s="304">
        <f t="shared" ca="1" si="77"/>
        <v>0</v>
      </c>
      <c r="R169" s="306">
        <f t="shared" ca="1" si="78"/>
        <v>0</v>
      </c>
      <c r="S169" s="307">
        <f t="shared" ca="1" si="79"/>
        <v>2.9792999999999985</v>
      </c>
      <c r="T169" s="304">
        <f t="shared" ca="1" si="59"/>
        <v>29.226932999999988</v>
      </c>
      <c r="U169" s="311">
        <f t="shared" ca="1" si="60"/>
        <v>0</v>
      </c>
      <c r="V169" s="306">
        <f t="shared" ca="1" si="61"/>
        <v>1.1317733094522158</v>
      </c>
      <c r="W169" s="304">
        <f t="shared" ca="1" si="62"/>
        <v>62.959906698863293</v>
      </c>
      <c r="Y169" s="314" t="str">
        <f t="shared" ca="1" si="80"/>
        <v/>
      </c>
      <c r="Z169" s="315" t="str">
        <f t="shared" ca="1" si="81"/>
        <v/>
      </c>
      <c r="AA169" s="316" t="str">
        <f t="shared" ca="1" si="82"/>
        <v/>
      </c>
      <c r="AC169" s="310" t="e">
        <f t="shared" ca="1" si="83"/>
        <v>#N/A</v>
      </c>
      <c r="AD169" s="323" t="e">
        <f t="shared" ca="1" si="84"/>
        <v>#N/A</v>
      </c>
      <c r="AE169" s="324">
        <f t="shared" ca="1" si="63"/>
        <v>791.13837698249358</v>
      </c>
      <c r="AG169" s="306">
        <f t="shared" ca="1" si="85"/>
        <v>-30.760041102411936</v>
      </c>
      <c r="AH169" s="304">
        <f t="shared" ca="1" si="86"/>
        <v>-21.214810228454684</v>
      </c>
    </row>
    <row r="170" spans="1:34" x14ac:dyDescent="0.2">
      <c r="A170" s="347">
        <f t="shared" ca="1" si="64"/>
        <v>0.01</v>
      </c>
      <c r="B170" s="304">
        <f t="shared" ca="1" si="65"/>
        <v>4.8599999999999648</v>
      </c>
      <c r="D170" s="306">
        <f t="shared" ca="1" si="66"/>
        <v>-4.8793853018636524</v>
      </c>
      <c r="E170" s="307">
        <f t="shared" ca="1" si="67"/>
        <v>-30.371420660480382</v>
      </c>
      <c r="F170" s="304">
        <f t="shared" ca="1" si="68"/>
        <v>30.760877651001728</v>
      </c>
      <c r="G170" s="306">
        <f t="shared" ca="1" si="69"/>
        <v>38.007908516225243</v>
      </c>
      <c r="H170" s="307">
        <f t="shared" ca="1" si="70"/>
        <v>160.06481952362807</v>
      </c>
      <c r="I170" s="304">
        <f t="shared" ca="1" si="71"/>
        <v>164.51549337040987</v>
      </c>
      <c r="J170" s="306">
        <f t="shared" ca="1" si="72"/>
        <v>167.51641055075095</v>
      </c>
      <c r="K170" s="307">
        <f t="shared" ca="1" si="73"/>
        <v>792.74054374876289</v>
      </c>
      <c r="L170" s="304">
        <f t="shared" ca="1" si="58"/>
        <v>810.24645479439903</v>
      </c>
      <c r="M170" s="306">
        <f t="shared" ca="1" si="74"/>
        <v>1.3376607986979989</v>
      </c>
      <c r="N170" s="304">
        <f t="shared" ca="1" si="75"/>
        <v>76.642318185494148</v>
      </c>
      <c r="P170" s="310">
        <f t="shared" ca="1" si="76"/>
        <v>13</v>
      </c>
      <c r="Q170" s="304">
        <f t="shared" ca="1" si="77"/>
        <v>0</v>
      </c>
      <c r="R170" s="306">
        <f t="shared" ca="1" si="78"/>
        <v>0</v>
      </c>
      <c r="S170" s="307">
        <f t="shared" ca="1" si="79"/>
        <v>2.9792999999999985</v>
      </c>
      <c r="T170" s="304">
        <f t="shared" ca="1" si="59"/>
        <v>29.226932999999988</v>
      </c>
      <c r="U170" s="311">
        <f t="shared" ca="1" si="60"/>
        <v>0</v>
      </c>
      <c r="V170" s="306">
        <f t="shared" ca="1" si="61"/>
        <v>1.1315917103087989</v>
      </c>
      <c r="W170" s="304">
        <f t="shared" ca="1" si="62"/>
        <v>62.715694390397047</v>
      </c>
      <c r="Y170" s="314" t="str">
        <f t="shared" ca="1" si="80"/>
        <v/>
      </c>
      <c r="Z170" s="315" t="str">
        <f t="shared" ca="1" si="81"/>
        <v/>
      </c>
      <c r="AA170" s="316" t="str">
        <f t="shared" ca="1" si="82"/>
        <v/>
      </c>
      <c r="AC170" s="310" t="e">
        <f t="shared" ca="1" si="83"/>
        <v>#N/A</v>
      </c>
      <c r="AD170" s="323" t="e">
        <f t="shared" ca="1" si="84"/>
        <v>#N/A</v>
      </c>
      <c r="AE170" s="324">
        <f t="shared" ca="1" si="63"/>
        <v>792.74054374876289</v>
      </c>
      <c r="AG170" s="306">
        <f t="shared" ca="1" si="85"/>
        <v>-30.677369330710704</v>
      </c>
      <c r="AH170" s="304">
        <f t="shared" ca="1" si="86"/>
        <v>-21.132449467614315</v>
      </c>
    </row>
    <row r="171" spans="1:34" x14ac:dyDescent="0.2">
      <c r="A171" s="347">
        <f t="shared" ca="1" si="64"/>
        <v>0.01</v>
      </c>
      <c r="B171" s="304">
        <f t="shared" ca="1" si="65"/>
        <v>4.8699999999999646</v>
      </c>
      <c r="D171" s="306">
        <f t="shared" ca="1" si="66"/>
        <v>-4.8632787896021998</v>
      </c>
      <c r="E171" s="307">
        <f t="shared" ca="1" si="67"/>
        <v>-30.290996512040522</v>
      </c>
      <c r="F171" s="304">
        <f t="shared" ca="1" si="68"/>
        <v>30.678917032350501</v>
      </c>
      <c r="G171" s="306">
        <f t="shared" ca="1" si="69"/>
        <v>37.959275728329217</v>
      </c>
      <c r="H171" s="307">
        <f t="shared" ca="1" si="70"/>
        <v>159.76190955850768</v>
      </c>
      <c r="I171" s="304">
        <f t="shared" ca="1" si="71"/>
        <v>164.2095440575855</v>
      </c>
      <c r="J171" s="306">
        <f t="shared" ca="1" si="72"/>
        <v>167.89624647197371</v>
      </c>
      <c r="K171" s="307">
        <f t="shared" ca="1" si="73"/>
        <v>794.33967739417358</v>
      </c>
      <c r="L171" s="304">
        <f t="shared" ca="1" si="58"/>
        <v>811.88956925314505</v>
      </c>
      <c r="M171" s="306">
        <f t="shared" ca="1" si="74"/>
        <v>1.3375227800460139</v>
      </c>
      <c r="N171" s="304">
        <f t="shared" ca="1" si="75"/>
        <v>76.63441029924131</v>
      </c>
      <c r="P171" s="310">
        <f t="shared" ca="1" si="76"/>
        <v>13</v>
      </c>
      <c r="Q171" s="304">
        <f t="shared" ca="1" si="77"/>
        <v>0</v>
      </c>
      <c r="R171" s="306">
        <f t="shared" ca="1" si="78"/>
        <v>0</v>
      </c>
      <c r="S171" s="307">
        <f t="shared" ca="1" si="79"/>
        <v>2.9792999999999985</v>
      </c>
      <c r="T171" s="304">
        <f t="shared" ca="1" si="59"/>
        <v>29.226932999999988</v>
      </c>
      <c r="U171" s="311">
        <f t="shared" ca="1" si="60"/>
        <v>0</v>
      </c>
      <c r="V171" s="306">
        <f t="shared" ca="1" si="61"/>
        <v>1.1314104828617668</v>
      </c>
      <c r="W171" s="304">
        <f t="shared" ca="1" si="62"/>
        <v>62.472639888790823</v>
      </c>
      <c r="Y171" s="314" t="str">
        <f t="shared" ca="1" si="80"/>
        <v/>
      </c>
      <c r="Z171" s="315" t="str">
        <f t="shared" ca="1" si="81"/>
        <v/>
      </c>
      <c r="AA171" s="316" t="str">
        <f t="shared" ca="1" si="82"/>
        <v/>
      </c>
      <c r="AC171" s="310" t="e">
        <f t="shared" ca="1" si="83"/>
        <v>#N/A</v>
      </c>
      <c r="AD171" s="323" t="e">
        <f t="shared" ca="1" si="84"/>
        <v>#N/A</v>
      </c>
      <c r="AE171" s="324">
        <f t="shared" ca="1" si="63"/>
        <v>794.33967739417358</v>
      </c>
      <c r="AG171" s="306">
        <f t="shared" ca="1" si="85"/>
        <v>-30.59508768503639</v>
      </c>
      <c r="AH171" s="304">
        <f t="shared" ca="1" si="86"/>
        <v>-21.050479773905643</v>
      </c>
    </row>
    <row r="172" spans="1:34" x14ac:dyDescent="0.2">
      <c r="A172" s="347">
        <f t="shared" ca="1" si="64"/>
        <v>0.01</v>
      </c>
      <c r="B172" s="304">
        <f t="shared" ca="1" si="65"/>
        <v>4.8799999999999644</v>
      </c>
      <c r="D172" s="306">
        <f t="shared" ca="1" si="66"/>
        <v>-4.8472469242721141</v>
      </c>
      <c r="E172" s="307">
        <f t="shared" ca="1" si="67"/>
        <v>-30.21095365005538</v>
      </c>
      <c r="F172" s="304">
        <f t="shared" ca="1" si="68"/>
        <v>30.597345034997073</v>
      </c>
      <c r="G172" s="306">
        <f t="shared" ca="1" si="69"/>
        <v>37.910803259086499</v>
      </c>
      <c r="H172" s="307">
        <f t="shared" ca="1" si="70"/>
        <v>159.45980002200713</v>
      </c>
      <c r="I172" s="304">
        <f t="shared" ca="1" si="71"/>
        <v>163.90441368922214</v>
      </c>
      <c r="J172" s="306">
        <f t="shared" ca="1" si="72"/>
        <v>168.2755968669108</v>
      </c>
      <c r="K172" s="307">
        <f t="shared" ca="1" si="73"/>
        <v>795.93578594207611</v>
      </c>
      <c r="L172" s="304">
        <f t="shared" ca="1" si="58"/>
        <v>813.52962567084512</v>
      </c>
      <c r="M172" s="306">
        <f t="shared" ca="1" si="74"/>
        <v>1.3373844240827595</v>
      </c>
      <c r="N172" s="304">
        <f t="shared" ca="1" si="75"/>
        <v>76.62648308647637</v>
      </c>
      <c r="P172" s="310">
        <f t="shared" ca="1" si="76"/>
        <v>13</v>
      </c>
      <c r="Q172" s="304">
        <f t="shared" ca="1" si="77"/>
        <v>0</v>
      </c>
      <c r="R172" s="306">
        <f t="shared" ca="1" si="78"/>
        <v>0</v>
      </c>
      <c r="S172" s="307">
        <f t="shared" ca="1" si="79"/>
        <v>2.9792999999999985</v>
      </c>
      <c r="T172" s="304">
        <f t="shared" ca="1" si="59"/>
        <v>29.226932999999988</v>
      </c>
      <c r="U172" s="311">
        <f t="shared" ca="1" si="60"/>
        <v>0</v>
      </c>
      <c r="V172" s="306">
        <f t="shared" ca="1" si="61"/>
        <v>1.1312296260370114</v>
      </c>
      <c r="W172" s="304">
        <f t="shared" ca="1" si="62"/>
        <v>62.230735952225494</v>
      </c>
      <c r="Y172" s="314" t="str">
        <f t="shared" ca="1" si="80"/>
        <v/>
      </c>
      <c r="Z172" s="315" t="str">
        <f t="shared" ca="1" si="81"/>
        <v/>
      </c>
      <c r="AA172" s="316" t="str">
        <f t="shared" ca="1" si="82"/>
        <v/>
      </c>
      <c r="AC172" s="310" t="e">
        <f t="shared" ca="1" si="83"/>
        <v>#N/A</v>
      </c>
      <c r="AD172" s="323" t="e">
        <f t="shared" ca="1" si="84"/>
        <v>#N/A</v>
      </c>
      <c r="AE172" s="324">
        <f t="shared" ca="1" si="63"/>
        <v>795.93578594207611</v>
      </c>
      <c r="AG172" s="306">
        <f t="shared" ca="1" si="85"/>
        <v>-30.513193712303583</v>
      </c>
      <c r="AH172" s="304">
        <f t="shared" ca="1" si="86"/>
        <v>-20.968898697274813</v>
      </c>
    </row>
    <row r="173" spans="1:34" x14ac:dyDescent="0.2">
      <c r="A173" s="347">
        <f t="shared" ca="1" si="64"/>
        <v>0.01</v>
      </c>
      <c r="B173" s="304">
        <f t="shared" ca="1" si="65"/>
        <v>4.8899999999999642</v>
      </c>
      <c r="D173" s="306">
        <f t="shared" ca="1" si="66"/>
        <v>-4.8312892358292059</v>
      </c>
      <c r="E173" s="307">
        <f t="shared" ca="1" si="67"/>
        <v>-30.131289689612466</v>
      </c>
      <c r="F173" s="304">
        <f t="shared" ca="1" si="68"/>
        <v>30.516159228179188</v>
      </c>
      <c r="G173" s="306">
        <f t="shared" ca="1" si="69"/>
        <v>37.86249036672821</v>
      </c>
      <c r="H173" s="307">
        <f t="shared" ca="1" si="70"/>
        <v>159.15848712511101</v>
      </c>
      <c r="I173" s="304">
        <f t="shared" ca="1" si="71"/>
        <v>163.60009841294323</v>
      </c>
      <c r="J173" s="306">
        <f t="shared" ca="1" si="72"/>
        <v>168.65446333503988</v>
      </c>
      <c r="K173" s="307">
        <f t="shared" ca="1" si="73"/>
        <v>797.52887737781168</v>
      </c>
      <c r="L173" s="304">
        <f t="shared" ca="1" si="58"/>
        <v>815.16663220125906</v>
      </c>
      <c r="M173" s="306">
        <f t="shared" ca="1" si="74"/>
        <v>1.3372457300468614</v>
      </c>
      <c r="N173" s="304">
        <f t="shared" ca="1" si="75"/>
        <v>76.618536503575783</v>
      </c>
      <c r="P173" s="310">
        <f t="shared" ca="1" si="76"/>
        <v>13</v>
      </c>
      <c r="Q173" s="304">
        <f t="shared" ca="1" si="77"/>
        <v>0</v>
      </c>
      <c r="R173" s="306">
        <f t="shared" ca="1" si="78"/>
        <v>0</v>
      </c>
      <c r="S173" s="307">
        <f t="shared" ca="1" si="79"/>
        <v>2.9792999999999985</v>
      </c>
      <c r="T173" s="304">
        <f t="shared" ca="1" si="59"/>
        <v>29.226932999999988</v>
      </c>
      <c r="U173" s="311">
        <f t="shared" ca="1" si="60"/>
        <v>0</v>
      </c>
      <c r="V173" s="306">
        <f t="shared" ca="1" si="61"/>
        <v>1.1310491387656632</v>
      </c>
      <c r="W173" s="304">
        <f t="shared" ca="1" si="62"/>
        <v>61.989975395961899</v>
      </c>
      <c r="Y173" s="314" t="str">
        <f t="shared" ca="1" si="80"/>
        <v/>
      </c>
      <c r="Z173" s="315" t="str">
        <f t="shared" ca="1" si="81"/>
        <v/>
      </c>
      <c r="AA173" s="316" t="str">
        <f t="shared" ca="1" si="82"/>
        <v/>
      </c>
      <c r="AC173" s="310" t="e">
        <f t="shared" ca="1" si="83"/>
        <v>#N/A</v>
      </c>
      <c r="AD173" s="323" t="e">
        <f t="shared" ca="1" si="84"/>
        <v>#N/A</v>
      </c>
      <c r="AE173" s="324">
        <f t="shared" ca="1" si="63"/>
        <v>797.52887737781168</v>
      </c>
      <c r="AG173" s="306">
        <f t="shared" ca="1" si="85"/>
        <v>-30.43168497875552</v>
      </c>
      <c r="AH173" s="304">
        <f t="shared" ca="1" si="86"/>
        <v>-20.887703807010212</v>
      </c>
    </row>
    <row r="174" spans="1:34" x14ac:dyDescent="0.2">
      <c r="A174" s="347">
        <f t="shared" ca="1" si="64"/>
        <v>0.01</v>
      </c>
      <c r="B174" s="304">
        <f t="shared" ca="1" si="65"/>
        <v>4.8999999999999639</v>
      </c>
      <c r="D174" s="306">
        <f t="shared" ca="1" si="66"/>
        <v>-4.8154052579309168</v>
      </c>
      <c r="E174" s="307">
        <f t="shared" ca="1" si="67"/>
        <v>-30.052002264596887</v>
      </c>
      <c r="F174" s="304">
        <f t="shared" ca="1" si="68"/>
        <v>30.435357200293296</v>
      </c>
      <c r="G174" s="306">
        <f t="shared" ca="1" si="69"/>
        <v>37.814336314148903</v>
      </c>
      <c r="H174" s="307">
        <f t="shared" ca="1" si="70"/>
        <v>158.85796710246504</v>
      </c>
      <c r="I174" s="304">
        <f t="shared" ca="1" si="71"/>
        <v>163.29659440051842</v>
      </c>
      <c r="J174" s="306">
        <f t="shared" ca="1" si="72"/>
        <v>169.03284746844426</v>
      </c>
      <c r="K174" s="307">
        <f t="shared" ca="1" si="73"/>
        <v>799.11895964894961</v>
      </c>
      <c r="L174" s="304">
        <f t="shared" ca="1" si="58"/>
        <v>816.80059695969248</v>
      </c>
      <c r="M174" s="306">
        <f t="shared" ca="1" si="74"/>
        <v>1.337106697174067</v>
      </c>
      <c r="N174" s="304">
        <f t="shared" ca="1" si="75"/>
        <v>76.610570506751074</v>
      </c>
      <c r="P174" s="310">
        <f t="shared" ca="1" si="76"/>
        <v>13</v>
      </c>
      <c r="Q174" s="304">
        <f t="shared" ca="1" si="77"/>
        <v>0</v>
      </c>
      <c r="R174" s="306">
        <f t="shared" ca="1" si="78"/>
        <v>0</v>
      </c>
      <c r="S174" s="307">
        <f t="shared" ca="1" si="79"/>
        <v>2.9792999999999985</v>
      </c>
      <c r="T174" s="304">
        <f t="shared" ca="1" si="59"/>
        <v>29.226932999999988</v>
      </c>
      <c r="U174" s="311">
        <f t="shared" ca="1" si="60"/>
        <v>0</v>
      </c>
      <c r="V174" s="306">
        <f t="shared" ca="1" si="61"/>
        <v>1.1308690199840576</v>
      </c>
      <c r="W174" s="304">
        <f t="shared" ca="1" si="62"/>
        <v>61.750351091800496</v>
      </c>
      <c r="Y174" s="314" t="str">
        <f t="shared" ca="1" si="80"/>
        <v/>
      </c>
      <c r="Z174" s="315" t="str">
        <f t="shared" ca="1" si="81"/>
        <v/>
      </c>
      <c r="AA174" s="316" t="str">
        <f t="shared" ca="1" si="82"/>
        <v/>
      </c>
      <c r="AC174" s="310" t="e">
        <f t="shared" ca="1" si="83"/>
        <v>#N/A</v>
      </c>
      <c r="AD174" s="323" t="e">
        <f t="shared" ca="1" si="84"/>
        <v>#N/A</v>
      </c>
      <c r="AE174" s="324">
        <f t="shared" ca="1" si="63"/>
        <v>799.11895964894961</v>
      </c>
      <c r="AG174" s="306">
        <f t="shared" ca="1" si="85"/>
        <v>-30.350559069780594</v>
      </c>
      <c r="AH174" s="304">
        <f t="shared" ca="1" si="86"/>
        <v>-20.806892691559067</v>
      </c>
    </row>
    <row r="175" spans="1:34" x14ac:dyDescent="0.2">
      <c r="A175" s="347">
        <f t="shared" ca="1" si="64"/>
        <v>0.01</v>
      </c>
      <c r="B175" s="304">
        <f t="shared" ca="1" si="65"/>
        <v>4.9099999999999637</v>
      </c>
      <c r="D175" s="306">
        <f t="shared" ca="1" si="66"/>
        <v>-4.7995945279013172</v>
      </c>
      <c r="E175" s="307">
        <f t="shared" ca="1" si="67"/>
        <v>-29.973089027513431</v>
      </c>
      <c r="F175" s="304">
        <f t="shared" ca="1" si="68"/>
        <v>30.354936558713252</v>
      </c>
      <c r="G175" s="306">
        <f t="shared" ca="1" si="69"/>
        <v>37.766340368869891</v>
      </c>
      <c r="H175" s="307">
        <f t="shared" ca="1" si="70"/>
        <v>158.55823621218991</v>
      </c>
      <c r="I175" s="304">
        <f t="shared" ca="1" si="71"/>
        <v>162.99389784767388</v>
      </c>
      <c r="J175" s="306">
        <f t="shared" ca="1" si="72"/>
        <v>169.41075085185935</v>
      </c>
      <c r="K175" s="307">
        <f t="shared" ca="1" si="73"/>
        <v>800.70604066552289</v>
      </c>
      <c r="L175" s="304">
        <f t="shared" ca="1" si="58"/>
        <v>818.43152802323584</v>
      </c>
      <c r="M175" s="306">
        <f t="shared" ca="1" si="74"/>
        <v>1.3369673246972356</v>
      </c>
      <c r="N175" s="304">
        <f t="shared" ca="1" si="75"/>
        <v>76.602585052048354</v>
      </c>
      <c r="P175" s="310">
        <f t="shared" ca="1" si="76"/>
        <v>13</v>
      </c>
      <c r="Q175" s="304">
        <f t="shared" ca="1" si="77"/>
        <v>0</v>
      </c>
      <c r="R175" s="306">
        <f t="shared" ca="1" si="78"/>
        <v>0</v>
      </c>
      <c r="S175" s="307">
        <f t="shared" ca="1" si="79"/>
        <v>2.9792999999999985</v>
      </c>
      <c r="T175" s="304">
        <f t="shared" ca="1" si="59"/>
        <v>29.226932999999988</v>
      </c>
      <c r="U175" s="311">
        <f t="shared" ca="1" si="60"/>
        <v>0</v>
      </c>
      <c r="V175" s="306">
        <f t="shared" ca="1" si="61"/>
        <v>1.1306892686337024</v>
      </c>
      <c r="W175" s="304">
        <f t="shared" ca="1" si="62"/>
        <v>61.511855967546971</v>
      </c>
      <c r="Y175" s="314" t="str">
        <f t="shared" ca="1" si="80"/>
        <v/>
      </c>
      <c r="Z175" s="315" t="str">
        <f t="shared" ca="1" si="81"/>
        <v/>
      </c>
      <c r="AA175" s="316" t="str">
        <f t="shared" ca="1" si="82"/>
        <v/>
      </c>
      <c r="AC175" s="310" t="e">
        <f t="shared" ca="1" si="83"/>
        <v>#N/A</v>
      </c>
      <c r="AD175" s="323" t="e">
        <f t="shared" ca="1" si="84"/>
        <v>#N/A</v>
      </c>
      <c r="AE175" s="324">
        <f t="shared" ca="1" si="63"/>
        <v>800.70604066552289</v>
      </c>
      <c r="AG175" s="306">
        <f t="shared" ca="1" si="85"/>
        <v>-30.269813589730941</v>
      </c>
      <c r="AH175" s="304">
        <f t="shared" ca="1" si="86"/>
        <v>-20.726462958346097</v>
      </c>
    </row>
    <row r="176" spans="1:34" x14ac:dyDescent="0.2">
      <c r="A176" s="347">
        <f t="shared" ca="1" si="64"/>
        <v>0.01</v>
      </c>
      <c r="B176" s="304">
        <f t="shared" ca="1" si="65"/>
        <v>4.9199999999999635</v>
      </c>
      <c r="D176" s="306">
        <f t="shared" ca="1" si="66"/>
        <v>-4.7838565866964018</v>
      </c>
      <c r="E176" s="307">
        <f t="shared" ca="1" si="67"/>
        <v>-29.894547649310574</v>
      </c>
      <c r="F176" s="304">
        <f t="shared" ca="1" si="68"/>
        <v>30.274894929610888</v>
      </c>
      <c r="G176" s="306">
        <f t="shared" ca="1" si="69"/>
        <v>37.71850180300293</v>
      </c>
      <c r="H176" s="307">
        <f t="shared" ca="1" si="70"/>
        <v>158.25929073569679</v>
      </c>
      <c r="I176" s="304">
        <f t="shared" ca="1" si="71"/>
        <v>162.69200497390443</v>
      </c>
      <c r="J176" s="306">
        <f t="shared" ca="1" si="72"/>
        <v>169.78817506271872</v>
      </c>
      <c r="K176" s="307">
        <f t="shared" ca="1" si="73"/>
        <v>802.29012830026238</v>
      </c>
      <c r="L176" s="304">
        <f t="shared" ca="1" si="58"/>
        <v>820.05943343100444</v>
      </c>
      <c r="M176" s="306">
        <f t="shared" ca="1" si="74"/>
        <v>1.3368276118463245</v>
      </c>
      <c r="N176" s="304">
        <f t="shared" ca="1" si="75"/>
        <v>76.594580095347411</v>
      </c>
      <c r="P176" s="310">
        <f t="shared" ca="1" si="76"/>
        <v>13</v>
      </c>
      <c r="Q176" s="304">
        <f t="shared" ca="1" si="77"/>
        <v>0</v>
      </c>
      <c r="R176" s="306">
        <f t="shared" ca="1" si="78"/>
        <v>0</v>
      </c>
      <c r="S176" s="307">
        <f t="shared" ca="1" si="79"/>
        <v>2.9792999999999985</v>
      </c>
      <c r="T176" s="304">
        <f t="shared" ca="1" si="59"/>
        <v>29.226932999999988</v>
      </c>
      <c r="U176" s="311">
        <f t="shared" ca="1" si="60"/>
        <v>0</v>
      </c>
      <c r="V176" s="306">
        <f t="shared" ca="1" si="61"/>
        <v>1.1305098836612444</v>
      </c>
      <c r="W176" s="304">
        <f t="shared" ca="1" si="62"/>
        <v>61.274483006483742</v>
      </c>
      <c r="Y176" s="314" t="str">
        <f t="shared" ca="1" si="80"/>
        <v/>
      </c>
      <c r="Z176" s="315" t="str">
        <f t="shared" ca="1" si="81"/>
        <v/>
      </c>
      <c r="AA176" s="316" t="str">
        <f t="shared" ca="1" si="82"/>
        <v/>
      </c>
      <c r="AC176" s="310" t="e">
        <f t="shared" ca="1" si="83"/>
        <v>#N/A</v>
      </c>
      <c r="AD176" s="323" t="e">
        <f t="shared" ca="1" si="84"/>
        <v>#N/A</v>
      </c>
      <c r="AE176" s="324">
        <f t="shared" ca="1" si="63"/>
        <v>802.29012830026238</v>
      </c>
      <c r="AG176" s="306">
        <f t="shared" ca="1" si="85"/>
        <v>-30.189446161743007</v>
      </c>
      <c r="AH176" s="304">
        <f t="shared" ca="1" si="86"/>
        <v>-20.646412233594134</v>
      </c>
    </row>
    <row r="177" spans="1:34" x14ac:dyDescent="0.2">
      <c r="A177" s="347">
        <f t="shared" ca="1" si="64"/>
        <v>0.01</v>
      </c>
      <c r="B177" s="304">
        <f t="shared" ca="1" si="65"/>
        <v>4.9299999999999633</v>
      </c>
      <c r="D177" s="306">
        <f t="shared" ca="1" si="66"/>
        <v>-4.7681909788698542</v>
      </c>
      <c r="E177" s="307">
        <f t="shared" ca="1" si="67"/>
        <v>-29.816375819206414</v>
      </c>
      <c r="F177" s="304">
        <f t="shared" ca="1" si="68"/>
        <v>30.195229957778643</v>
      </c>
      <c r="G177" s="306">
        <f t="shared" ca="1" si="69"/>
        <v>37.67081989321423</v>
      </c>
      <c r="H177" s="307">
        <f t="shared" ca="1" si="70"/>
        <v>157.96112697750473</v>
      </c>
      <c r="I177" s="304">
        <f t="shared" ca="1" si="71"/>
        <v>162.39091202228761</v>
      </c>
      <c r="J177" s="306">
        <f t="shared" ca="1" si="72"/>
        <v>170.16512167119981</v>
      </c>
      <c r="K177" s="307">
        <f t="shared" ca="1" si="73"/>
        <v>803.87123038882839</v>
      </c>
      <c r="L177" s="304">
        <f t="shared" ca="1" si="58"/>
        <v>821.68432118437261</v>
      </c>
      <c r="M177" s="306">
        <f t="shared" ca="1" si="74"/>
        <v>1.3366875578483797</v>
      </c>
      <c r="N177" s="304">
        <f t="shared" ca="1" si="75"/>
        <v>76.586555592361236</v>
      </c>
      <c r="P177" s="310">
        <f t="shared" ca="1" si="76"/>
        <v>13</v>
      </c>
      <c r="Q177" s="304">
        <f t="shared" ca="1" si="77"/>
        <v>0</v>
      </c>
      <c r="R177" s="306">
        <f t="shared" ca="1" si="78"/>
        <v>0</v>
      </c>
      <c r="S177" s="307">
        <f t="shared" ca="1" si="79"/>
        <v>2.9792999999999985</v>
      </c>
      <c r="T177" s="304">
        <f t="shared" ca="1" si="59"/>
        <v>29.226932999999988</v>
      </c>
      <c r="U177" s="311">
        <f t="shared" ca="1" si="60"/>
        <v>0</v>
      </c>
      <c r="V177" s="306">
        <f t="shared" ca="1" si="61"/>
        <v>1.130330864018436</v>
      </c>
      <c r="W177" s="304">
        <f t="shared" ca="1" si="62"/>
        <v>61.038225246847411</v>
      </c>
      <c r="Y177" s="314" t="str">
        <f t="shared" ca="1" si="80"/>
        <v/>
      </c>
      <c r="Z177" s="315" t="str">
        <f t="shared" ca="1" si="81"/>
        <v/>
      </c>
      <c r="AA177" s="316" t="str">
        <f t="shared" ca="1" si="82"/>
        <v/>
      </c>
      <c r="AC177" s="310" t="e">
        <f t="shared" ca="1" si="83"/>
        <v>#N/A</v>
      </c>
      <c r="AD177" s="323" t="e">
        <f t="shared" ca="1" si="84"/>
        <v>#N/A</v>
      </c>
      <c r="AE177" s="324">
        <f t="shared" ca="1" si="63"/>
        <v>803.87123038882839</v>
      </c>
      <c r="AG177" s="306">
        <f t="shared" ca="1" si="85"/>
        <v>-30.109454427560078</v>
      </c>
      <c r="AH177" s="304">
        <f t="shared" ca="1" si="86"/>
        <v>-20.566738162146738</v>
      </c>
    </row>
    <row r="178" spans="1:34" x14ac:dyDescent="0.2">
      <c r="A178" s="347">
        <f t="shared" ca="1" si="64"/>
        <v>0.01</v>
      </c>
      <c r="B178" s="304">
        <f t="shared" ca="1" si="65"/>
        <v>4.9399999999999631</v>
      </c>
      <c r="D178" s="306">
        <f t="shared" ca="1" si="66"/>
        <v>-4.7525972525391227</v>
      </c>
      <c r="E178" s="307">
        <f t="shared" ca="1" si="67"/>
        <v>-29.738571244516599</v>
      </c>
      <c r="F178" s="304">
        <f t="shared" ca="1" si="68"/>
        <v>30.11593930645418</v>
      </c>
      <c r="G178" s="306">
        <f t="shared" ca="1" si="69"/>
        <v>37.623293920688837</v>
      </c>
      <c r="H178" s="307">
        <f t="shared" ca="1" si="70"/>
        <v>157.66374126505957</v>
      </c>
      <c r="I178" s="304">
        <f t="shared" ca="1" si="71"/>
        <v>162.09061525929928</v>
      </c>
      <c r="J178" s="306">
        <f t="shared" ca="1" si="72"/>
        <v>170.54159224026932</v>
      </c>
      <c r="K178" s="307">
        <f t="shared" ca="1" si="73"/>
        <v>805.44935473004125</v>
      </c>
      <c r="L178" s="304">
        <f t="shared" ca="1" si="58"/>
        <v>823.30619924720963</v>
      </c>
      <c r="M178" s="306">
        <f t="shared" ca="1" si="74"/>
        <v>1.3365471619275229</v>
      </c>
      <c r="N178" s="304">
        <f t="shared" ca="1" si="75"/>
        <v>76.578511498635294</v>
      </c>
      <c r="P178" s="310">
        <f t="shared" ca="1" si="76"/>
        <v>13</v>
      </c>
      <c r="Q178" s="304">
        <f t="shared" ca="1" si="77"/>
        <v>0</v>
      </c>
      <c r="R178" s="306">
        <f t="shared" ca="1" si="78"/>
        <v>0</v>
      </c>
      <c r="S178" s="307">
        <f t="shared" ca="1" si="79"/>
        <v>2.9792999999999985</v>
      </c>
      <c r="T178" s="304">
        <f t="shared" ca="1" si="59"/>
        <v>29.226932999999988</v>
      </c>
      <c r="U178" s="311">
        <f t="shared" ca="1" si="60"/>
        <v>0</v>
      </c>
      <c r="V178" s="306">
        <f t="shared" ca="1" si="61"/>
        <v>1.1301522086621041</v>
      </c>
      <c r="W178" s="304">
        <f t="shared" ca="1" si="62"/>
        <v>60.80307578131184</v>
      </c>
      <c r="Y178" s="314" t="str">
        <f t="shared" ca="1" si="80"/>
        <v/>
      </c>
      <c r="Z178" s="315" t="str">
        <f t="shared" ca="1" si="81"/>
        <v/>
      </c>
      <c r="AA178" s="316" t="str">
        <f t="shared" ca="1" si="82"/>
        <v/>
      </c>
      <c r="AC178" s="310" t="e">
        <f t="shared" ca="1" si="83"/>
        <v>#N/A</v>
      </c>
      <c r="AD178" s="323" t="e">
        <f t="shared" ca="1" si="84"/>
        <v>#N/A</v>
      </c>
      <c r="AE178" s="324">
        <f t="shared" ca="1" si="63"/>
        <v>805.44935473004125</v>
      </c>
      <c r="AG178" s="306">
        <f t="shared" ca="1" si="85"/>
        <v>-30.029836047356824</v>
      </c>
      <c r="AH178" s="304">
        <f t="shared" ca="1" si="86"/>
        <v>-20.4874384072928</v>
      </c>
    </row>
    <row r="179" spans="1:34" x14ac:dyDescent="0.2">
      <c r="A179" s="347">
        <f t="shared" ca="1" si="64"/>
        <v>0.01</v>
      </c>
      <c r="B179" s="304">
        <f t="shared" ca="1" si="65"/>
        <v>4.9499999999999629</v>
      </c>
      <c r="D179" s="306">
        <f t="shared" ca="1" si="66"/>
        <v>-4.7370749593519044</v>
      </c>
      <c r="E179" s="307">
        <f t="shared" ca="1" si="67"/>
        <v>-29.661131650484087</v>
      </c>
      <c r="F179" s="304">
        <f t="shared" ca="1" si="68"/>
        <v>30.037020657146869</v>
      </c>
      <c r="G179" s="306">
        <f t="shared" ca="1" si="69"/>
        <v>37.575923171095319</v>
      </c>
      <c r="H179" s="307">
        <f t="shared" ca="1" si="70"/>
        <v>157.36712994855472</v>
      </c>
      <c r="I179" s="304">
        <f t="shared" ca="1" si="71"/>
        <v>161.79111097463101</v>
      </c>
      <c r="J179" s="306">
        <f t="shared" ca="1" si="72"/>
        <v>170.91758832572825</v>
      </c>
      <c r="K179" s="307">
        <f t="shared" ca="1" si="73"/>
        <v>807.02450908610933</v>
      </c>
      <c r="L179" s="304">
        <f t="shared" ca="1" si="58"/>
        <v>824.92507554611223</v>
      </c>
      <c r="M179" s="306">
        <f t="shared" ca="1" si="74"/>
        <v>1.33640642330494</v>
      </c>
      <c r="N179" s="304">
        <f t="shared" ca="1" si="75"/>
        <v>76.570447769546803</v>
      </c>
      <c r="P179" s="310">
        <f t="shared" ca="1" si="76"/>
        <v>13</v>
      </c>
      <c r="Q179" s="304">
        <f t="shared" ca="1" si="77"/>
        <v>0</v>
      </c>
      <c r="R179" s="306">
        <f t="shared" ca="1" si="78"/>
        <v>0</v>
      </c>
      <c r="S179" s="307">
        <f t="shared" ca="1" si="79"/>
        <v>2.9792999999999985</v>
      </c>
      <c r="T179" s="304">
        <f t="shared" ca="1" si="59"/>
        <v>29.226932999999988</v>
      </c>
      <c r="U179" s="311">
        <f t="shared" ca="1" si="60"/>
        <v>0</v>
      </c>
      <c r="V179" s="306">
        <f t="shared" ca="1" si="61"/>
        <v>1.1299739165541161</v>
      </c>
      <c r="W179" s="304">
        <f t="shared" ca="1" si="62"/>
        <v>60.569027756476785</v>
      </c>
      <c r="Y179" s="314" t="str">
        <f t="shared" ca="1" si="80"/>
        <v/>
      </c>
      <c r="Z179" s="315" t="str">
        <f t="shared" ca="1" si="81"/>
        <v/>
      </c>
      <c r="AA179" s="316" t="str">
        <f t="shared" ca="1" si="82"/>
        <v/>
      </c>
      <c r="AC179" s="310" t="e">
        <f t="shared" ca="1" si="83"/>
        <v>#N/A</v>
      </c>
      <c r="AD179" s="323" t="e">
        <f t="shared" ca="1" si="84"/>
        <v>#N/A</v>
      </c>
      <c r="AE179" s="324">
        <f t="shared" ca="1" si="63"/>
        <v>807.02450908610933</v>
      </c>
      <c r="AG179" s="306">
        <f t="shared" ca="1" si="85"/>
        <v>-29.950588699565721</v>
      </c>
      <c r="AH179" s="304">
        <f t="shared" ca="1" si="86"/>
        <v>-20.408510650593048</v>
      </c>
    </row>
    <row r="180" spans="1:34" x14ac:dyDescent="0.2">
      <c r="A180" s="347">
        <f t="shared" ca="1" si="64"/>
        <v>0.01</v>
      </c>
      <c r="B180" s="304">
        <f t="shared" ca="1" si="65"/>
        <v>4.9599999999999627</v>
      </c>
      <c r="D180" s="306">
        <f t="shared" ca="1" si="66"/>
        <v>-4.7216236544529799</v>
      </c>
      <c r="E180" s="307">
        <f t="shared" ca="1" si="67"/>
        <v>-29.584054780110755</v>
      </c>
      <c r="F180" s="304">
        <f t="shared" ca="1" si="68"/>
        <v>29.958471709466153</v>
      </c>
      <c r="G180" s="306">
        <f t="shared" ca="1" si="69"/>
        <v>37.52870693455079</v>
      </c>
      <c r="H180" s="307">
        <f t="shared" ca="1" si="70"/>
        <v>157.07128940075361</v>
      </c>
      <c r="I180" s="304">
        <f t="shared" ca="1" si="71"/>
        <v>161.49239548100925</v>
      </c>
      <c r="J180" s="306">
        <f t="shared" ca="1" si="72"/>
        <v>171.29311147625648</v>
      </c>
      <c r="K180" s="307">
        <f t="shared" ca="1" si="73"/>
        <v>808.5967011828559</v>
      </c>
      <c r="L180" s="304">
        <f t="shared" ca="1" si="58"/>
        <v>826.54095797063439</v>
      </c>
      <c r="M180" s="306">
        <f t="shared" ca="1" si="74"/>
        <v>1.3362653411988699</v>
      </c>
      <c r="N180" s="304">
        <f t="shared" ca="1" si="75"/>
        <v>76.562364360304173</v>
      </c>
      <c r="P180" s="310">
        <f t="shared" ca="1" si="76"/>
        <v>13</v>
      </c>
      <c r="Q180" s="304">
        <f t="shared" ca="1" si="77"/>
        <v>0</v>
      </c>
      <c r="R180" s="306">
        <f t="shared" ca="1" si="78"/>
        <v>0</v>
      </c>
      <c r="S180" s="307">
        <f t="shared" ca="1" si="79"/>
        <v>2.9792999999999985</v>
      </c>
      <c r="T180" s="304">
        <f t="shared" ca="1" si="59"/>
        <v>29.226932999999988</v>
      </c>
      <c r="U180" s="311">
        <f t="shared" ca="1" si="60"/>
        <v>0</v>
      </c>
      <c r="V180" s="306">
        <f t="shared" ca="1" si="61"/>
        <v>1.1297959866613505</v>
      </c>
      <c r="W180" s="304">
        <f t="shared" ca="1" si="62"/>
        <v>60.336074372362553</v>
      </c>
      <c r="Y180" s="314" t="str">
        <f t="shared" ca="1" si="80"/>
        <v/>
      </c>
      <c r="Z180" s="315" t="str">
        <f t="shared" ca="1" si="81"/>
        <v/>
      </c>
      <c r="AA180" s="316" t="str">
        <f t="shared" ca="1" si="82"/>
        <v/>
      </c>
      <c r="AC180" s="310" t="e">
        <f t="shared" ca="1" si="83"/>
        <v>#N/A</v>
      </c>
      <c r="AD180" s="323" t="e">
        <f t="shared" ca="1" si="84"/>
        <v>#N/A</v>
      </c>
      <c r="AE180" s="324">
        <f t="shared" ca="1" si="63"/>
        <v>808.5967011828559</v>
      </c>
      <c r="AG180" s="306">
        <f t="shared" ca="1" si="85"/>
        <v>-29.871710080705345</v>
      </c>
      <c r="AH180" s="304">
        <f t="shared" ca="1" si="86"/>
        <v>-20.329952591708395</v>
      </c>
    </row>
    <row r="181" spans="1:34" x14ac:dyDescent="0.2">
      <c r="A181" s="347">
        <f t="shared" ca="1" si="64"/>
        <v>0.01</v>
      </c>
      <c r="B181" s="304">
        <f t="shared" ca="1" si="65"/>
        <v>4.9699999999999624</v>
      </c>
      <c r="D181" s="306">
        <f t="shared" ca="1" si="66"/>
        <v>-4.7062428964514185</v>
      </c>
      <c r="E181" s="307">
        <f t="shared" ca="1" si="67"/>
        <v>-29.507338393990949</v>
      </c>
      <c r="F181" s="304">
        <f t="shared" ca="1" si="68"/>
        <v>29.880290180951921</v>
      </c>
      <c r="G181" s="306">
        <f t="shared" ca="1" si="69"/>
        <v>37.481644505586274</v>
      </c>
      <c r="H181" s="307">
        <f t="shared" ca="1" si="70"/>
        <v>156.77621601681369</v>
      </c>
      <c r="I181" s="304">
        <f t="shared" ca="1" si="71"/>
        <v>161.19446511401617</v>
      </c>
      <c r="J181" s="306">
        <f t="shared" ca="1" si="72"/>
        <v>171.66816323345716</v>
      </c>
      <c r="K181" s="307">
        <f t="shared" ca="1" si="73"/>
        <v>810.1659387099437</v>
      </c>
      <c r="L181" s="304">
        <f t="shared" ca="1" si="58"/>
        <v>828.15385437351745</v>
      </c>
      <c r="M181" s="306">
        <f t="shared" ca="1" si="74"/>
        <v>1.3361239148245916</v>
      </c>
      <c r="N181" s="304">
        <f t="shared" ca="1" si="75"/>
        <v>76.554261225946192</v>
      </c>
      <c r="P181" s="310">
        <f t="shared" ca="1" si="76"/>
        <v>13</v>
      </c>
      <c r="Q181" s="304">
        <f t="shared" ca="1" si="77"/>
        <v>0</v>
      </c>
      <c r="R181" s="306">
        <f t="shared" ca="1" si="78"/>
        <v>0</v>
      </c>
      <c r="S181" s="307">
        <f t="shared" ca="1" si="79"/>
        <v>2.9792999999999985</v>
      </c>
      <c r="T181" s="304">
        <f t="shared" ca="1" si="59"/>
        <v>29.226932999999988</v>
      </c>
      <c r="U181" s="311">
        <f t="shared" ca="1" si="60"/>
        <v>0</v>
      </c>
      <c r="V181" s="306">
        <f t="shared" ca="1" si="61"/>
        <v>1.1296184179556616</v>
      </c>
      <c r="W181" s="304">
        <f t="shared" ca="1" si="62"/>
        <v>60.104208881909564</v>
      </c>
      <c r="Y181" s="314" t="str">
        <f t="shared" ca="1" si="80"/>
        <v/>
      </c>
      <c r="Z181" s="315" t="str">
        <f t="shared" ca="1" si="81"/>
        <v/>
      </c>
      <c r="AA181" s="316" t="str">
        <f t="shared" ca="1" si="82"/>
        <v/>
      </c>
      <c r="AC181" s="310" t="e">
        <f t="shared" ca="1" si="83"/>
        <v>#N/A</v>
      </c>
      <c r="AD181" s="323" t="e">
        <f t="shared" ca="1" si="84"/>
        <v>#N/A</v>
      </c>
      <c r="AE181" s="324">
        <f t="shared" ca="1" si="63"/>
        <v>810.1659387099437</v>
      </c>
      <c r="AG181" s="306">
        <f t="shared" ca="1" si="85"/>
        <v>-29.793197905210672</v>
      </c>
      <c r="AH181" s="304">
        <f t="shared" ca="1" si="86"/>
        <v>-20.251761948230318</v>
      </c>
    </row>
    <row r="182" spans="1:34" x14ac:dyDescent="0.2">
      <c r="A182" s="347">
        <f t="shared" ca="1" si="64"/>
        <v>0.01</v>
      </c>
      <c r="B182" s="304">
        <f t="shared" ca="1" si="65"/>
        <v>4.9799999999999622</v>
      </c>
      <c r="D182" s="306">
        <f t="shared" ca="1" si="66"/>
        <v>-4.6909322473881438</v>
      </c>
      <c r="E182" s="307">
        <f t="shared" ca="1" si="67"/>
        <v>-29.430980270146712</v>
      </c>
      <c r="F182" s="304">
        <f t="shared" ca="1" si="68"/>
        <v>29.802473806906551</v>
      </c>
      <c r="G182" s="306">
        <f t="shared" ca="1" si="69"/>
        <v>37.434735183112394</v>
      </c>
      <c r="H182" s="307">
        <f t="shared" ca="1" si="70"/>
        <v>156.48190621411223</v>
      </c>
      <c r="I182" s="304">
        <f t="shared" ca="1" si="71"/>
        <v>160.89731623191224</v>
      </c>
      <c r="J182" s="306">
        <f t="shared" ca="1" si="72"/>
        <v>172.04274513190066</v>
      </c>
      <c r="K182" s="307">
        <f t="shared" ca="1" si="73"/>
        <v>811.73222932109832</v>
      </c>
      <c r="L182" s="304">
        <f t="shared" ca="1" si="58"/>
        <v>829.7637725709169</v>
      </c>
      <c r="M182" s="306">
        <f t="shared" ca="1" si="74"/>
        <v>1.3359821433944128</v>
      </c>
      <c r="N182" s="304">
        <f t="shared" ca="1" si="75"/>
        <v>76.546138321341402</v>
      </c>
      <c r="P182" s="310">
        <f t="shared" ca="1" si="76"/>
        <v>13</v>
      </c>
      <c r="Q182" s="304">
        <f t="shared" ca="1" si="77"/>
        <v>0</v>
      </c>
      <c r="R182" s="306">
        <f t="shared" ca="1" si="78"/>
        <v>0</v>
      </c>
      <c r="S182" s="307">
        <f t="shared" ca="1" si="79"/>
        <v>2.9792999999999985</v>
      </c>
      <c r="T182" s="304">
        <f t="shared" ca="1" si="59"/>
        <v>29.226932999999988</v>
      </c>
      <c r="U182" s="311">
        <f t="shared" ca="1" si="60"/>
        <v>0</v>
      </c>
      <c r="V182" s="306">
        <f t="shared" ca="1" si="61"/>
        <v>1.1294412094138515</v>
      </c>
      <c r="W182" s="304">
        <f t="shared" ca="1" si="62"/>
        <v>59.87342459048417</v>
      </c>
      <c r="Y182" s="314" t="str">
        <f t="shared" ca="1" si="80"/>
        <v/>
      </c>
      <c r="Z182" s="315" t="str">
        <f t="shared" ca="1" si="81"/>
        <v/>
      </c>
      <c r="AA182" s="316" t="str">
        <f t="shared" ca="1" si="82"/>
        <v/>
      </c>
      <c r="AC182" s="310" t="e">
        <f t="shared" ca="1" si="83"/>
        <v>#N/A</v>
      </c>
      <c r="AD182" s="323" t="e">
        <f t="shared" ca="1" si="84"/>
        <v>#N/A</v>
      </c>
      <c r="AE182" s="324">
        <f t="shared" ca="1" si="63"/>
        <v>811.73222932109832</v>
      </c>
      <c r="AG182" s="306">
        <f t="shared" ca="1" si="85"/>
        <v>-29.715049905265047</v>
      </c>
      <c r="AH182" s="304">
        <f t="shared" ca="1" si="86"/>
        <v>-20.173936455512905</v>
      </c>
    </row>
    <row r="183" spans="1:34" x14ac:dyDescent="0.2">
      <c r="A183" s="347">
        <f t="shared" ca="1" si="64"/>
        <v>0.01</v>
      </c>
      <c r="B183" s="304">
        <f t="shared" ca="1" si="65"/>
        <v>4.989999999999962</v>
      </c>
      <c r="D183" s="306">
        <f t="shared" ca="1" si="66"/>
        <v>-4.6756912727038706</v>
      </c>
      <c r="E183" s="307">
        <f t="shared" ca="1" si="67"/>
        <v>-29.354978203865009</v>
      </c>
      <c r="F183" s="304">
        <f t="shared" ca="1" si="68"/>
        <v>29.725020340229019</v>
      </c>
      <c r="G183" s="306">
        <f t="shared" ca="1" si="69"/>
        <v>37.387978270385354</v>
      </c>
      <c r="H183" s="307">
        <f t="shared" ca="1" si="70"/>
        <v>156.18835643207359</v>
      </c>
      <c r="I183" s="304">
        <f t="shared" ca="1" si="71"/>
        <v>160.60094521546026</v>
      </c>
      <c r="J183" s="306">
        <f t="shared" ca="1" si="72"/>
        <v>172.41685869916816</v>
      </c>
      <c r="K183" s="307">
        <f t="shared" ca="1" si="73"/>
        <v>813.29558063432921</v>
      </c>
      <c r="L183" s="304">
        <f t="shared" ca="1" si="58"/>
        <v>831.37072034262758</v>
      </c>
      <c r="M183" s="306">
        <f t="shared" ca="1" si="74"/>
        <v>1.335840026117658</v>
      </c>
      <c r="N183" s="304">
        <f t="shared" ca="1" si="75"/>
        <v>76.537995601187461</v>
      </c>
      <c r="P183" s="310">
        <f t="shared" ca="1" si="76"/>
        <v>13</v>
      </c>
      <c r="Q183" s="304">
        <f t="shared" ca="1" si="77"/>
        <v>0</v>
      </c>
      <c r="R183" s="306">
        <f t="shared" ca="1" si="78"/>
        <v>0</v>
      </c>
      <c r="S183" s="307">
        <f t="shared" ca="1" si="79"/>
        <v>2.9792999999999985</v>
      </c>
      <c r="T183" s="304">
        <f t="shared" ca="1" si="59"/>
        <v>29.226932999999988</v>
      </c>
      <c r="U183" s="311">
        <f t="shared" ca="1" si="60"/>
        <v>0</v>
      </c>
      <c r="V183" s="306">
        <f t="shared" ca="1" si="61"/>
        <v>1.1292643600176373</v>
      </c>
      <c r="W183" s="304">
        <f t="shared" ca="1" si="62"/>
        <v>59.643714855389092</v>
      </c>
      <c r="Y183" s="314" t="str">
        <f t="shared" ca="1" si="80"/>
        <v/>
      </c>
      <c r="Z183" s="315" t="str">
        <f t="shared" ca="1" si="81"/>
        <v/>
      </c>
      <c r="AA183" s="316" t="str">
        <f t="shared" ca="1" si="82"/>
        <v/>
      </c>
      <c r="AC183" s="310" t="e">
        <f t="shared" ca="1" si="83"/>
        <v>#N/A</v>
      </c>
      <c r="AD183" s="323" t="e">
        <f t="shared" ca="1" si="84"/>
        <v>#N/A</v>
      </c>
      <c r="AE183" s="324">
        <f t="shared" ca="1" si="63"/>
        <v>813.29558063432921</v>
      </c>
      <c r="AG183" s="306">
        <f t="shared" ca="1" si="85"/>
        <v>-29.637263830634243</v>
      </c>
      <c r="AH183" s="304">
        <f t="shared" ca="1" si="86"/>
        <v>-20.096473866506965</v>
      </c>
    </row>
    <row r="184" spans="1:34" x14ac:dyDescent="0.2">
      <c r="A184" s="347">
        <f t="shared" ca="1" si="64"/>
        <v>0.01</v>
      </c>
      <c r="B184" s="304">
        <f t="shared" ca="1" si="65"/>
        <v>4.9999999999999618</v>
      </c>
      <c r="D184" s="306">
        <f t="shared" ca="1" si="66"/>
        <v>-4.6605195412073455</v>
      </c>
      <c r="E184" s="307">
        <f t="shared" ca="1" si="67"/>
        <v>-29.279330007536515</v>
      </c>
      <c r="F184" s="304">
        <f t="shared" ca="1" si="68"/>
        <v>29.647927551250589</v>
      </c>
      <c r="G184" s="306">
        <f t="shared" ca="1" si="69"/>
        <v>37.341373074973284</v>
      </c>
      <c r="H184" s="307">
        <f t="shared" ca="1" si="70"/>
        <v>155.89556313199822</v>
      </c>
      <c r="I184" s="304">
        <f t="shared" ca="1" si="71"/>
        <v>160.30534846775132</v>
      </c>
      <c r="J184" s="306">
        <f t="shared" ca="1" si="72"/>
        <v>172.79050545589496</v>
      </c>
      <c r="K184" s="307">
        <f t="shared" ca="1" si="73"/>
        <v>814.85600023214954</v>
      </c>
      <c r="L184" s="304">
        <f t="shared" ca="1" si="58"/>
        <v>832.97470543230816</v>
      </c>
      <c r="M184" s="306">
        <f t="shared" ca="1" si="74"/>
        <v>1.3356975622006564</v>
      </c>
      <c r="N184" s="304">
        <f t="shared" ca="1" si="75"/>
        <v>76.529833020010372</v>
      </c>
      <c r="P184" s="310">
        <f t="shared" ca="1" si="76"/>
        <v>13</v>
      </c>
      <c r="Q184" s="304">
        <f t="shared" ca="1" si="77"/>
        <v>0</v>
      </c>
      <c r="R184" s="306">
        <f t="shared" ca="1" si="78"/>
        <v>0</v>
      </c>
      <c r="S184" s="307">
        <f t="shared" ca="1" si="79"/>
        <v>2.9792999999999985</v>
      </c>
      <c r="T184" s="304">
        <f t="shared" ca="1" si="59"/>
        <v>29.226932999999988</v>
      </c>
      <c r="U184" s="311">
        <f t="shared" ca="1" si="60"/>
        <v>0</v>
      </c>
      <c r="V184" s="306">
        <f t="shared" ca="1" si="61"/>
        <v>1.1290878687536201</v>
      </c>
      <c r="W184" s="304">
        <f t="shared" ca="1" si="62"/>
        <v>59.415073085379746</v>
      </c>
      <c r="Y184" s="314" t="str">
        <f t="shared" ca="1" si="80"/>
        <v/>
      </c>
      <c r="Z184" s="315" t="str">
        <f t="shared" ca="1" si="81"/>
        <v/>
      </c>
      <c r="AA184" s="316" t="str">
        <f t="shared" ca="1" si="82"/>
        <v/>
      </c>
      <c r="AC184" s="310">
        <f t="shared" ca="1" si="83"/>
        <v>4.9999999999999618</v>
      </c>
      <c r="AD184" s="323">
        <f t="shared" ca="1" si="84"/>
        <v>172.79050545589496</v>
      </c>
      <c r="AE184" s="324">
        <f t="shared" ca="1" si="63"/>
        <v>814.85600023214954</v>
      </c>
      <c r="AG184" s="306">
        <f t="shared" ca="1" si="85"/>
        <v>-29.559837448502044</v>
      </c>
      <c r="AH184" s="304">
        <f t="shared" ca="1" si="86"/>
        <v>-20.019371951595719</v>
      </c>
    </row>
    <row r="185" spans="1:34" x14ac:dyDescent="0.2">
      <c r="A185" s="347">
        <f t="shared" ca="1" si="64"/>
        <v>0.01</v>
      </c>
      <c r="B185" s="304">
        <f t="shared" ca="1" si="65"/>
        <v>5.0099999999999616</v>
      </c>
      <c r="D185" s="306">
        <f t="shared" ca="1" si="66"/>
        <v>-4.6454166250439775</v>
      </c>
      <c r="E185" s="307">
        <f t="shared" ca="1" si="67"/>
        <v>-29.204033510496338</v>
      </c>
      <c r="F185" s="304">
        <f t="shared" ca="1" si="68"/>
        <v>29.571193227572472</v>
      </c>
      <c r="G185" s="306">
        <f t="shared" ca="1" si="69"/>
        <v>37.294918908722842</v>
      </c>
      <c r="H185" s="307">
        <f t="shared" ca="1" si="70"/>
        <v>155.60352279689326</v>
      </c>
      <c r="I185" s="304">
        <f t="shared" ca="1" si="71"/>
        <v>160.01052241403218</v>
      </c>
      <c r="J185" s="306">
        <f t="shared" ca="1" si="72"/>
        <v>173.16368691581343</v>
      </c>
      <c r="K185" s="307">
        <f t="shared" ca="1" si="73"/>
        <v>816.41349566179395</v>
      </c>
      <c r="L185" s="304">
        <f t="shared" ca="1" si="58"/>
        <v>834.57573554770204</v>
      </c>
      <c r="M185" s="306">
        <f t="shared" ca="1" si="74"/>
        <v>1.3355547508467296</v>
      </c>
      <c r="N185" s="304">
        <f t="shared" ca="1" si="75"/>
        <v>76.521650532163818</v>
      </c>
      <c r="P185" s="310">
        <f t="shared" ca="1" si="76"/>
        <v>13</v>
      </c>
      <c r="Q185" s="304">
        <f t="shared" ca="1" si="77"/>
        <v>0</v>
      </c>
      <c r="R185" s="306">
        <f t="shared" ca="1" si="78"/>
        <v>0</v>
      </c>
      <c r="S185" s="307">
        <f t="shared" ca="1" si="79"/>
        <v>2.9792999999999985</v>
      </c>
      <c r="T185" s="304">
        <f t="shared" ca="1" si="59"/>
        <v>29.226932999999988</v>
      </c>
      <c r="U185" s="311">
        <f t="shared" ca="1" si="60"/>
        <v>0</v>
      </c>
      <c r="V185" s="306">
        <f t="shared" ca="1" si="61"/>
        <v>1.128911734613254</v>
      </c>
      <c r="W185" s="304">
        <f t="shared" ca="1" si="62"/>
        <v>59.18749274018549</v>
      </c>
      <c r="Y185" s="314" t="str">
        <f t="shared" ca="1" si="80"/>
        <v/>
      </c>
      <c r="Z185" s="315" t="str">
        <f t="shared" ca="1" si="81"/>
        <v/>
      </c>
      <c r="AA185" s="316" t="str">
        <f t="shared" ca="1" si="82"/>
        <v/>
      </c>
      <c r="AC185" s="310" t="e">
        <f t="shared" ca="1" si="83"/>
        <v>#N/A</v>
      </c>
      <c r="AD185" s="323" t="e">
        <f t="shared" ca="1" si="84"/>
        <v>#N/A</v>
      </c>
      <c r="AE185" s="324">
        <f t="shared" ca="1" si="63"/>
        <v>816.41349566179395</v>
      </c>
      <c r="AG185" s="306">
        <f t="shared" ca="1" si="85"/>
        <v>-29.482768543307859</v>
      </c>
      <c r="AH185" s="304">
        <f t="shared" ca="1" si="86"/>
        <v>-19.942628498432441</v>
      </c>
    </row>
    <row r="186" spans="1:34" x14ac:dyDescent="0.2">
      <c r="A186" s="347">
        <f t="shared" ca="1" si="64"/>
        <v>0.01</v>
      </c>
      <c r="B186" s="304">
        <f t="shared" ca="1" si="65"/>
        <v>5.0199999999999614</v>
      </c>
      <c r="D186" s="306">
        <f t="shared" ca="1" si="66"/>
        <v>-4.6303820996647946</v>
      </c>
      <c r="E186" s="307">
        <f t="shared" ca="1" si="67"/>
        <v>-29.129086558866334</v>
      </c>
      <c r="F186" s="304">
        <f t="shared" ca="1" si="68"/>
        <v>29.494815173905117</v>
      </c>
      <c r="G186" s="306">
        <f t="shared" ca="1" si="69"/>
        <v>37.248615087726193</v>
      </c>
      <c r="H186" s="307">
        <f t="shared" ca="1" si="70"/>
        <v>155.31223193130461</v>
      </c>
      <c r="I186" s="304">
        <f t="shared" ca="1" si="71"/>
        <v>159.71646350153429</v>
      </c>
      <c r="J186" s="306">
        <f t="shared" ca="1" si="72"/>
        <v>173.53640458579568</v>
      </c>
      <c r="K186" s="307">
        <f t="shared" ca="1" si="73"/>
        <v>817.96807443543491</v>
      </c>
      <c r="L186" s="304">
        <f t="shared" ca="1" si="58"/>
        <v>836.1738183608586</v>
      </c>
      <c r="M186" s="306">
        <f t="shared" ca="1" si="74"/>
        <v>1.3354115912561795</v>
      </c>
      <c r="N186" s="304">
        <f t="shared" ca="1" si="75"/>
        <v>76.513448091828479</v>
      </c>
      <c r="P186" s="310">
        <f t="shared" ca="1" si="76"/>
        <v>13</v>
      </c>
      <c r="Q186" s="304">
        <f t="shared" ca="1" si="77"/>
        <v>0</v>
      </c>
      <c r="R186" s="306">
        <f t="shared" ca="1" si="78"/>
        <v>0</v>
      </c>
      <c r="S186" s="307">
        <f t="shared" ca="1" si="79"/>
        <v>2.9792999999999985</v>
      </c>
      <c r="T186" s="304">
        <f t="shared" ca="1" si="59"/>
        <v>29.226932999999988</v>
      </c>
      <c r="U186" s="311">
        <f t="shared" ca="1" si="60"/>
        <v>0</v>
      </c>
      <c r="V186" s="306">
        <f t="shared" ca="1" si="61"/>
        <v>1.1287359565928166</v>
      </c>
      <c r="W186" s="304">
        <f t="shared" ca="1" si="62"/>
        <v>58.960967330036304</v>
      </c>
      <c r="Y186" s="314" t="str">
        <f t="shared" ca="1" si="80"/>
        <v/>
      </c>
      <c r="Z186" s="315" t="str">
        <f t="shared" ca="1" si="81"/>
        <v/>
      </c>
      <c r="AA186" s="316" t="str">
        <f t="shared" ca="1" si="82"/>
        <v/>
      </c>
      <c r="AC186" s="310" t="e">
        <f t="shared" ca="1" si="83"/>
        <v>#N/A</v>
      </c>
      <c r="AD186" s="323" t="e">
        <f t="shared" ca="1" si="84"/>
        <v>#N/A</v>
      </c>
      <c r="AE186" s="324">
        <f t="shared" ca="1" si="63"/>
        <v>817.96807443543491</v>
      </c>
      <c r="AG186" s="306">
        <f t="shared" ca="1" si="85"/>
        <v>-29.406054916585937</v>
      </c>
      <c r="AH186" s="304">
        <f t="shared" ca="1" si="86"/>
        <v>-19.866241311779788</v>
      </c>
    </row>
    <row r="187" spans="1:34" x14ac:dyDescent="0.2">
      <c r="A187" s="347">
        <f t="shared" ca="1" si="64"/>
        <v>0.01</v>
      </c>
      <c r="B187" s="304">
        <f t="shared" ca="1" si="65"/>
        <v>5.0299999999999612</v>
      </c>
      <c r="D187" s="306">
        <f t="shared" ca="1" si="66"/>
        <v>-4.6154155437957316</v>
      </c>
      <c r="E187" s="307">
        <f t="shared" ca="1" si="67"/>
        <v>-29.054487015399246</v>
      </c>
      <c r="F187" s="304">
        <f t="shared" ca="1" si="68"/>
        <v>29.418791211909348</v>
      </c>
      <c r="G187" s="306">
        <f t="shared" ca="1" si="69"/>
        <v>37.202460932288233</v>
      </c>
      <c r="H187" s="307">
        <f t="shared" ca="1" si="70"/>
        <v>155.02168706115063</v>
      </c>
      <c r="I187" s="304">
        <f t="shared" ca="1" si="71"/>
        <v>159.42316819930454</v>
      </c>
      <c r="J187" s="306">
        <f t="shared" ca="1" si="72"/>
        <v>173.90865996589577</v>
      </c>
      <c r="K187" s="307">
        <f t="shared" ca="1" si="73"/>
        <v>819.51974403039719</v>
      </c>
      <c r="L187" s="304">
        <f t="shared" ca="1" si="58"/>
        <v>837.76896150835125</v>
      </c>
      <c r="M187" s="306">
        <f t="shared" ca="1" si="74"/>
        <v>1.3352680826262759</v>
      </c>
      <c r="N187" s="304">
        <f t="shared" ca="1" si="75"/>
        <v>76.505225653011294</v>
      </c>
      <c r="P187" s="310">
        <f t="shared" ca="1" si="76"/>
        <v>13</v>
      </c>
      <c r="Q187" s="304">
        <f t="shared" ca="1" si="77"/>
        <v>0</v>
      </c>
      <c r="R187" s="306">
        <f t="shared" ca="1" si="78"/>
        <v>0</v>
      </c>
      <c r="S187" s="307">
        <f t="shared" ca="1" si="79"/>
        <v>2.9792999999999985</v>
      </c>
      <c r="T187" s="304">
        <f t="shared" ca="1" si="59"/>
        <v>29.226932999999988</v>
      </c>
      <c r="U187" s="311">
        <f t="shared" ca="1" si="60"/>
        <v>0</v>
      </c>
      <c r="V187" s="306">
        <f t="shared" ca="1" si="61"/>
        <v>1.1285605336933782</v>
      </c>
      <c r="W187" s="304">
        <f t="shared" ca="1" si="62"/>
        <v>58.735490415194548</v>
      </c>
      <c r="Y187" s="314" t="str">
        <f t="shared" ca="1" si="80"/>
        <v/>
      </c>
      <c r="Z187" s="315" t="str">
        <f t="shared" ca="1" si="81"/>
        <v/>
      </c>
      <c r="AA187" s="316" t="str">
        <f t="shared" ca="1" si="82"/>
        <v/>
      </c>
      <c r="AC187" s="310" t="e">
        <f t="shared" ca="1" si="83"/>
        <v>#N/A</v>
      </c>
      <c r="AD187" s="323" t="e">
        <f t="shared" ca="1" si="84"/>
        <v>#N/A</v>
      </c>
      <c r="AE187" s="324">
        <f t="shared" ca="1" si="63"/>
        <v>819.51974403039719</v>
      </c>
      <c r="AG187" s="306">
        <f t="shared" ca="1" si="85"/>
        <v>-29.329694386806409</v>
      </c>
      <c r="AH187" s="304">
        <f t="shared" ca="1" si="86"/>
        <v>-19.790208213350898</v>
      </c>
    </row>
    <row r="188" spans="1:34" x14ac:dyDescent="0.2">
      <c r="A188" s="347">
        <f t="shared" ca="1" si="64"/>
        <v>0.01</v>
      </c>
      <c r="B188" s="304">
        <f t="shared" ca="1" si="65"/>
        <v>5.039999999999961</v>
      </c>
      <c r="D188" s="306">
        <f t="shared" ca="1" si="66"/>
        <v>-4.6005165394072716</v>
      </c>
      <c r="E188" s="307">
        <f t="shared" ca="1" si="67"/>
        <v>-28.980232759324501</v>
      </c>
      <c r="F188" s="304">
        <f t="shared" ca="1" si="68"/>
        <v>29.34311918003921</v>
      </c>
      <c r="G188" s="306">
        <f t="shared" ca="1" si="69"/>
        <v>37.156455766894162</v>
      </c>
      <c r="H188" s="307">
        <f t="shared" ca="1" si="70"/>
        <v>154.73188473355739</v>
      </c>
      <c r="I188" s="304">
        <f t="shared" ca="1" si="71"/>
        <v>159.13063299803736</v>
      </c>
      <c r="J188" s="306">
        <f t="shared" ca="1" si="72"/>
        <v>174.28045454939166</v>
      </c>
      <c r="K188" s="307">
        <f t="shared" ca="1" si="73"/>
        <v>821.06851188937071</v>
      </c>
      <c r="L188" s="304">
        <f t="shared" ca="1" si="58"/>
        <v>839.36117259149432</v>
      </c>
      <c r="M188" s="306">
        <f t="shared" ca="1" si="74"/>
        <v>1.3351242241512444</v>
      </c>
      <c r="N188" s="304">
        <f t="shared" ca="1" si="75"/>
        <v>76.496983169544805</v>
      </c>
      <c r="P188" s="310">
        <f t="shared" ca="1" si="76"/>
        <v>13</v>
      </c>
      <c r="Q188" s="304">
        <f t="shared" ca="1" si="77"/>
        <v>0</v>
      </c>
      <c r="R188" s="306">
        <f t="shared" ca="1" si="78"/>
        <v>0</v>
      </c>
      <c r="S188" s="307">
        <f t="shared" ca="1" si="79"/>
        <v>2.9792999999999985</v>
      </c>
      <c r="T188" s="304">
        <f t="shared" ca="1" si="59"/>
        <v>29.226932999999988</v>
      </c>
      <c r="U188" s="311">
        <f t="shared" ca="1" si="60"/>
        <v>0</v>
      </c>
      <c r="V188" s="306">
        <f t="shared" ca="1" si="61"/>
        <v>1.1283854649207714</v>
      </c>
      <c r="W188" s="304">
        <f t="shared" ca="1" si="62"/>
        <v>58.511055605491556</v>
      </c>
      <c r="Y188" s="314" t="str">
        <f t="shared" ca="1" si="80"/>
        <v/>
      </c>
      <c r="Z188" s="315" t="str">
        <f t="shared" ca="1" si="81"/>
        <v/>
      </c>
      <c r="AA188" s="316" t="str">
        <f t="shared" ca="1" si="82"/>
        <v/>
      </c>
      <c r="AC188" s="310" t="e">
        <f t="shared" ca="1" si="83"/>
        <v>#N/A</v>
      </c>
      <c r="AD188" s="323" t="e">
        <f t="shared" ca="1" si="84"/>
        <v>#N/A</v>
      </c>
      <c r="AE188" s="324">
        <f t="shared" ca="1" si="63"/>
        <v>821.06851188937071</v>
      </c>
      <c r="AG188" s="306">
        <f t="shared" ca="1" si="85"/>
        <v>-29.253684789218099</v>
      </c>
      <c r="AH188" s="304">
        <f t="shared" ca="1" si="86"/>
        <v>-19.714527041652261</v>
      </c>
    </row>
    <row r="189" spans="1:34" x14ac:dyDescent="0.2">
      <c r="A189" s="347">
        <f t="shared" ca="1" si="64"/>
        <v>0.01</v>
      </c>
      <c r="B189" s="304">
        <f t="shared" ca="1" si="65"/>
        <v>5.0499999999999607</v>
      </c>
      <c r="D189" s="306">
        <f t="shared" ca="1" si="66"/>
        <v>-4.5856846716843815</v>
      </c>
      <c r="E189" s="307">
        <f t="shared" ca="1" si="67"/>
        <v>-28.906321686195596</v>
      </c>
      <c r="F189" s="304">
        <f t="shared" ca="1" si="68"/>
        <v>29.267796933386411</v>
      </c>
      <c r="G189" s="306">
        <f t="shared" ca="1" si="69"/>
        <v>37.110598920177317</v>
      </c>
      <c r="H189" s="307">
        <f t="shared" ca="1" si="70"/>
        <v>154.44282151669543</v>
      </c>
      <c r="I189" s="304">
        <f t="shared" ca="1" si="71"/>
        <v>158.83885440990849</v>
      </c>
      <c r="J189" s="306">
        <f t="shared" ca="1" si="72"/>
        <v>174.65178982282703</v>
      </c>
      <c r="K189" s="307">
        <f t="shared" ca="1" si="73"/>
        <v>822.61438542062194</v>
      </c>
      <c r="L189" s="304">
        <f t="shared" ca="1" si="58"/>
        <v>840.95045917655852</v>
      </c>
      <c r="M189" s="306">
        <f t="shared" ca="1" si="74"/>
        <v>1.3349800150222544</v>
      </c>
      <c r="N189" s="304">
        <f t="shared" ca="1" si="75"/>
        <v>76.48872059508642</v>
      </c>
      <c r="P189" s="310">
        <f t="shared" ca="1" si="76"/>
        <v>13</v>
      </c>
      <c r="Q189" s="304">
        <f t="shared" ca="1" si="77"/>
        <v>0</v>
      </c>
      <c r="R189" s="306">
        <f t="shared" ca="1" si="78"/>
        <v>0</v>
      </c>
      <c r="S189" s="307">
        <f t="shared" ca="1" si="79"/>
        <v>2.9792999999999985</v>
      </c>
      <c r="T189" s="304">
        <f t="shared" ca="1" si="59"/>
        <v>29.226932999999988</v>
      </c>
      <c r="U189" s="311">
        <f t="shared" ca="1" si="60"/>
        <v>0</v>
      </c>
      <c r="V189" s="306">
        <f t="shared" ca="1" si="61"/>
        <v>1.1282107492855631</v>
      </c>
      <c r="W189" s="304">
        <f t="shared" ca="1" si="62"/>
        <v>58.287656559869703</v>
      </c>
      <c r="Y189" s="314" t="str">
        <f t="shared" ca="1" si="80"/>
        <v/>
      </c>
      <c r="Z189" s="315" t="str">
        <f t="shared" ca="1" si="81"/>
        <v/>
      </c>
      <c r="AA189" s="316" t="str">
        <f t="shared" ca="1" si="82"/>
        <v/>
      </c>
      <c r="AC189" s="310" t="e">
        <f t="shared" ca="1" si="83"/>
        <v>#N/A</v>
      </c>
      <c r="AD189" s="323" t="e">
        <f t="shared" ca="1" si="84"/>
        <v>#N/A</v>
      </c>
      <c r="AE189" s="324">
        <f t="shared" ca="1" si="63"/>
        <v>822.61438542062194</v>
      </c>
      <c r="AG189" s="306">
        <f t="shared" ca="1" si="85"/>
        <v>-29.178023975692845</v>
      </c>
      <c r="AH189" s="304">
        <f t="shared" ca="1" si="86"/>
        <v>-19.639195651828143</v>
      </c>
    </row>
    <row r="190" spans="1:34" x14ac:dyDescent="0.2">
      <c r="A190" s="347">
        <f t="shared" ca="1" si="64"/>
        <v>0.01</v>
      </c>
      <c r="B190" s="304">
        <f t="shared" ca="1" si="65"/>
        <v>5.0599999999999605</v>
      </c>
      <c r="D190" s="306">
        <f t="shared" ca="1" si="66"/>
        <v>-4.5709195289968036</v>
      </c>
      <c r="E190" s="307">
        <f t="shared" ca="1" si="67"/>
        <v>-28.832751707739291</v>
      </c>
      <c r="F190" s="304">
        <f t="shared" ca="1" si="68"/>
        <v>29.192822343526625</v>
      </c>
      <c r="G190" s="306">
        <f t="shared" ca="1" si="69"/>
        <v>37.064889724887351</v>
      </c>
      <c r="H190" s="307">
        <f t="shared" ca="1" si="70"/>
        <v>154.15449399961804</v>
      </c>
      <c r="I190" s="304">
        <f t="shared" ca="1" si="71"/>
        <v>158.54782896841047</v>
      </c>
      <c r="J190" s="306">
        <f t="shared" ca="1" si="72"/>
        <v>175.02266726605234</v>
      </c>
      <c r="K190" s="307">
        <f t="shared" ca="1" si="73"/>
        <v>824.15737199820353</v>
      </c>
      <c r="L190" s="304">
        <f t="shared" ca="1" si="58"/>
        <v>842.5368287949841</v>
      </c>
      <c r="M190" s="306">
        <f t="shared" ca="1" si="74"/>
        <v>1.3348354544274053</v>
      </c>
      <c r="N190" s="304">
        <f t="shared" ca="1" si="75"/>
        <v>76.480437883117659</v>
      </c>
      <c r="P190" s="310">
        <f t="shared" ca="1" si="76"/>
        <v>13</v>
      </c>
      <c r="Q190" s="304">
        <f t="shared" ca="1" si="77"/>
        <v>0</v>
      </c>
      <c r="R190" s="306">
        <f t="shared" ca="1" si="78"/>
        <v>0</v>
      </c>
      <c r="S190" s="307">
        <f t="shared" ca="1" si="79"/>
        <v>2.9792999999999985</v>
      </c>
      <c r="T190" s="304">
        <f t="shared" ca="1" si="59"/>
        <v>29.226932999999988</v>
      </c>
      <c r="U190" s="311">
        <f t="shared" ca="1" si="60"/>
        <v>0</v>
      </c>
      <c r="V190" s="306">
        <f t="shared" ca="1" si="61"/>
        <v>1.1280363858030216</v>
      </c>
      <c r="W190" s="304">
        <f t="shared" ca="1" si="62"/>
        <v>58.065286985928971</v>
      </c>
      <c r="Y190" s="314" t="str">
        <f t="shared" ca="1" si="80"/>
        <v/>
      </c>
      <c r="Z190" s="315" t="str">
        <f t="shared" ca="1" si="81"/>
        <v/>
      </c>
      <c r="AA190" s="316" t="str">
        <f t="shared" ca="1" si="82"/>
        <v/>
      </c>
      <c r="AC190" s="310" t="e">
        <f t="shared" ca="1" si="83"/>
        <v>#N/A</v>
      </c>
      <c r="AD190" s="323" t="e">
        <f t="shared" ca="1" si="84"/>
        <v>#N/A</v>
      </c>
      <c r="AE190" s="324">
        <f t="shared" ca="1" si="63"/>
        <v>824.15737199820353</v>
      </c>
      <c r="AG190" s="306">
        <f t="shared" ca="1" si="85"/>
        <v>-29.102709814571774</v>
      </c>
      <c r="AH190" s="304">
        <f t="shared" ca="1" si="86"/>
        <v>-19.56421191550691</v>
      </c>
    </row>
    <row r="191" spans="1:34" x14ac:dyDescent="0.2">
      <c r="A191" s="347">
        <f t="shared" ca="1" si="64"/>
        <v>0.01</v>
      </c>
      <c r="B191" s="304">
        <f t="shared" ca="1" si="65"/>
        <v>5.0699999999999603</v>
      </c>
      <c r="D191" s="306">
        <f t="shared" ca="1" si="66"/>
        <v>-4.5562207028696662</v>
      </c>
      <c r="E191" s="307">
        <f t="shared" ca="1" si="67"/>
        <v>-28.759520751706269</v>
      </c>
      <c r="F191" s="304">
        <f t="shared" ca="1" si="68"/>
        <v>29.118193298367288</v>
      </c>
      <c r="G191" s="306">
        <f t="shared" ca="1" si="69"/>
        <v>37.019327517858656</v>
      </c>
      <c r="H191" s="307">
        <f t="shared" ca="1" si="70"/>
        <v>153.86689879210098</v>
      </c>
      <c r="I191" s="304">
        <f t="shared" ca="1" si="71"/>
        <v>158.25755322818918</v>
      </c>
      <c r="J191" s="306">
        <f t="shared" ca="1" si="72"/>
        <v>175.39308835226606</v>
      </c>
      <c r="K191" s="307">
        <f t="shared" ca="1" si="73"/>
        <v>825.69747896216211</v>
      </c>
      <c r="L191" s="304">
        <f t="shared" ca="1" si="58"/>
        <v>844.12028894359355</v>
      </c>
      <c r="M191" s="306">
        <f t="shared" ca="1" si="74"/>
        <v>1.3346905415517156</v>
      </c>
      <c r="N191" s="304">
        <f t="shared" ca="1" si="75"/>
        <v>76.472134986943544</v>
      </c>
      <c r="P191" s="310">
        <f t="shared" ca="1" si="76"/>
        <v>13</v>
      </c>
      <c r="Q191" s="304">
        <f t="shared" ca="1" si="77"/>
        <v>0</v>
      </c>
      <c r="R191" s="306">
        <f t="shared" ca="1" si="78"/>
        <v>0</v>
      </c>
      <c r="S191" s="307">
        <f t="shared" ca="1" si="79"/>
        <v>2.9792999999999985</v>
      </c>
      <c r="T191" s="304">
        <f t="shared" ca="1" si="59"/>
        <v>29.226932999999988</v>
      </c>
      <c r="U191" s="311">
        <f t="shared" ca="1" si="60"/>
        <v>0</v>
      </c>
      <c r="V191" s="306">
        <f t="shared" ca="1" si="61"/>
        <v>1.1278623734930913</v>
      </c>
      <c r="W191" s="304">
        <f t="shared" ca="1" si="62"/>
        <v>57.843940639478575</v>
      </c>
      <c r="Y191" s="314" t="str">
        <f t="shared" ca="1" si="80"/>
        <v/>
      </c>
      <c r="Z191" s="315" t="str">
        <f t="shared" ca="1" si="81"/>
        <v/>
      </c>
      <c r="AA191" s="316" t="str">
        <f t="shared" ca="1" si="82"/>
        <v/>
      </c>
      <c r="AC191" s="310" t="e">
        <f t="shared" ca="1" si="83"/>
        <v>#N/A</v>
      </c>
      <c r="AD191" s="323" t="e">
        <f t="shared" ca="1" si="84"/>
        <v>#N/A</v>
      </c>
      <c r="AE191" s="324">
        <f t="shared" ca="1" si="63"/>
        <v>825.69747896216211</v>
      </c>
      <c r="AG191" s="306">
        <f t="shared" ca="1" si="85"/>
        <v>-29.027740190512986</v>
      </c>
      <c r="AH191" s="304">
        <f t="shared" ca="1" si="86"/>
        <v>-19.48957372064881</v>
      </c>
    </row>
    <row r="192" spans="1:34" x14ac:dyDescent="0.2">
      <c r="A192" s="347">
        <f t="shared" ca="1" si="64"/>
        <v>0.01</v>
      </c>
      <c r="B192" s="304">
        <f t="shared" ca="1" si="65"/>
        <v>5.0799999999999601</v>
      </c>
      <c r="D192" s="306">
        <f t="shared" ca="1" si="66"/>
        <v>-4.541587787954378</v>
      </c>
      <c r="E192" s="307">
        <f t="shared" ca="1" si="67"/>
        <v>-28.686626761723502</v>
      </c>
      <c r="F192" s="304">
        <f t="shared" ca="1" si="68"/>
        <v>29.043907701997114</v>
      </c>
      <c r="G192" s="306">
        <f t="shared" ca="1" si="69"/>
        <v>36.973911639979114</v>
      </c>
      <c r="H192" s="307">
        <f t="shared" ca="1" si="70"/>
        <v>153.58003252448376</v>
      </c>
      <c r="I192" s="304">
        <f t="shared" ca="1" si="71"/>
        <v>157.96802376488247</v>
      </c>
      <c r="J192" s="306">
        <f t="shared" ca="1" si="72"/>
        <v>175.76305454805524</v>
      </c>
      <c r="K192" s="307">
        <f t="shared" ca="1" si="73"/>
        <v>827.23471361874499</v>
      </c>
      <c r="L192" s="304">
        <f t="shared" ca="1" si="58"/>
        <v>845.70084708480078</v>
      </c>
      <c r="M192" s="306">
        <f t="shared" ca="1" si="74"/>
        <v>1.3345452755771094</v>
      </c>
      <c r="N192" s="304">
        <f t="shared" ca="1" si="75"/>
        <v>76.463811859691745</v>
      </c>
      <c r="P192" s="310">
        <f t="shared" ca="1" si="76"/>
        <v>13</v>
      </c>
      <c r="Q192" s="304">
        <f t="shared" ca="1" si="77"/>
        <v>0</v>
      </c>
      <c r="R192" s="306">
        <f t="shared" ca="1" si="78"/>
        <v>0</v>
      </c>
      <c r="S192" s="307">
        <f t="shared" ca="1" si="79"/>
        <v>2.9792999999999985</v>
      </c>
      <c r="T192" s="304">
        <f t="shared" ca="1" si="59"/>
        <v>29.226932999999988</v>
      </c>
      <c r="U192" s="311">
        <f t="shared" ca="1" si="60"/>
        <v>0</v>
      </c>
      <c r="V192" s="306">
        <f t="shared" ca="1" si="61"/>
        <v>1.1276887113803606</v>
      </c>
      <c r="W192" s="304">
        <f t="shared" ca="1" si="62"/>
        <v>57.623611324093588</v>
      </c>
      <c r="Y192" s="314" t="str">
        <f t="shared" ca="1" si="80"/>
        <v/>
      </c>
      <c r="Z192" s="315" t="str">
        <f t="shared" ca="1" si="81"/>
        <v/>
      </c>
      <c r="AA192" s="316" t="str">
        <f t="shared" ca="1" si="82"/>
        <v/>
      </c>
      <c r="AC192" s="310" t="e">
        <f t="shared" ca="1" si="83"/>
        <v>#N/A</v>
      </c>
      <c r="AD192" s="323" t="e">
        <f t="shared" ca="1" si="84"/>
        <v>#N/A</v>
      </c>
      <c r="AE192" s="324">
        <f t="shared" ca="1" si="63"/>
        <v>827.23471361874499</v>
      </c>
      <c r="AG192" s="306">
        <f t="shared" ca="1" si="85"/>
        <v>-28.953113004341024</v>
      </c>
      <c r="AH192" s="304">
        <f t="shared" ca="1" si="86"/>
        <v>-19.415278971395498</v>
      </c>
    </row>
    <row r="193" spans="1:34" x14ac:dyDescent="0.2">
      <c r="A193" s="347">
        <f t="shared" ca="1" si="64"/>
        <v>0.01</v>
      </c>
      <c r="B193" s="304">
        <f t="shared" ca="1" si="65"/>
        <v>5.0899999999999599</v>
      </c>
      <c r="D193" s="306">
        <f t="shared" ca="1" si="66"/>
        <v>-4.5270203819998871</v>
      </c>
      <c r="E193" s="307">
        <f t="shared" ca="1" si="67"/>
        <v>-28.614067697148208</v>
      </c>
      <c r="F193" s="304">
        <f t="shared" ca="1" si="68"/>
        <v>28.969963474537259</v>
      </c>
      <c r="G193" s="306">
        <f t="shared" ca="1" si="69"/>
        <v>36.928641436159118</v>
      </c>
      <c r="H193" s="307">
        <f t="shared" ca="1" si="70"/>
        <v>153.29389184751227</v>
      </c>
      <c r="I193" s="304">
        <f t="shared" ca="1" si="71"/>
        <v>157.67923717495972</v>
      </c>
      <c r="J193" s="306">
        <f t="shared" ca="1" si="72"/>
        <v>176.13256731343594</v>
      </c>
      <c r="K193" s="307">
        <f t="shared" ca="1" si="73"/>
        <v>828.76908324060491</v>
      </c>
      <c r="L193" s="304">
        <f t="shared" ca="1" si="58"/>
        <v>847.27851064682079</v>
      </c>
      <c r="M193" s="306">
        <f t="shared" ca="1" si="74"/>
        <v>1.334399655682404</v>
      </c>
      <c r="N193" s="304">
        <f t="shared" ca="1" si="75"/>
        <v>76.455468454311998</v>
      </c>
      <c r="P193" s="310">
        <f t="shared" ca="1" si="76"/>
        <v>13</v>
      </c>
      <c r="Q193" s="304">
        <f t="shared" ca="1" si="77"/>
        <v>0</v>
      </c>
      <c r="R193" s="306">
        <f t="shared" ca="1" si="78"/>
        <v>0</v>
      </c>
      <c r="S193" s="307">
        <f t="shared" ca="1" si="79"/>
        <v>2.9792999999999985</v>
      </c>
      <c r="T193" s="304">
        <f t="shared" ca="1" si="59"/>
        <v>29.226932999999988</v>
      </c>
      <c r="U193" s="311">
        <f t="shared" ca="1" si="60"/>
        <v>0</v>
      </c>
      <c r="V193" s="306">
        <f t="shared" ca="1" si="61"/>
        <v>1.1275153984940349</v>
      </c>
      <c r="W193" s="304">
        <f t="shared" ca="1" si="62"/>
        <v>57.404292890675968</v>
      </c>
      <c r="Y193" s="314" t="str">
        <f t="shared" ca="1" si="80"/>
        <v/>
      </c>
      <c r="Z193" s="315" t="str">
        <f t="shared" ca="1" si="81"/>
        <v/>
      </c>
      <c r="AA193" s="316" t="str">
        <f t="shared" ca="1" si="82"/>
        <v/>
      </c>
      <c r="AC193" s="310" t="e">
        <f t="shared" ca="1" si="83"/>
        <v>#N/A</v>
      </c>
      <c r="AD193" s="323" t="e">
        <f t="shared" ca="1" si="84"/>
        <v>#N/A</v>
      </c>
      <c r="AE193" s="324">
        <f t="shared" ca="1" si="63"/>
        <v>828.76908324060491</v>
      </c>
      <c r="AG193" s="306">
        <f t="shared" ca="1" si="85"/>
        <v>-28.878826172897931</v>
      </c>
      <c r="AH193" s="304">
        <f t="shared" ca="1" si="86"/>
        <v>-19.341325587921194</v>
      </c>
    </row>
    <row r="194" spans="1:34" x14ac:dyDescent="0.2">
      <c r="A194" s="347">
        <f t="shared" ca="1" si="64"/>
        <v>0.01</v>
      </c>
      <c r="B194" s="304">
        <f t="shared" ca="1" si="65"/>
        <v>5.0999999999999597</v>
      </c>
      <c r="D194" s="306">
        <f t="shared" ca="1" si="66"/>
        <v>-4.5125180858242029</v>
      </c>
      <c r="E194" s="307">
        <f t="shared" ca="1" si="67"/>
        <v>-28.541841532923321</v>
      </c>
      <c r="F194" s="304">
        <f t="shared" ca="1" si="68"/>
        <v>28.896358551994005</v>
      </c>
      <c r="G194" s="306">
        <f t="shared" ca="1" si="69"/>
        <v>36.883516255300876</v>
      </c>
      <c r="H194" s="307">
        <f t="shared" ca="1" si="70"/>
        <v>153.00847343218302</v>
      </c>
      <c r="I194" s="304">
        <f t="shared" ca="1" si="71"/>
        <v>157.39119007556332</v>
      </c>
      <c r="J194" s="306">
        <f t="shared" ca="1" si="72"/>
        <v>176.50162810189323</v>
      </c>
      <c r="K194" s="307">
        <f t="shared" ca="1" si="73"/>
        <v>830.30059506700343</v>
      </c>
      <c r="L194" s="304">
        <f t="shared" ca="1" si="58"/>
        <v>848.85328702387608</v>
      </c>
      <c r="M194" s="306">
        <f t="shared" ca="1" si="74"/>
        <v>1.334253681043297</v>
      </c>
      <c r="N194" s="304">
        <f t="shared" ca="1" si="75"/>
        <v>76.447104723575208</v>
      </c>
      <c r="P194" s="310">
        <f t="shared" ca="1" si="76"/>
        <v>13</v>
      </c>
      <c r="Q194" s="304">
        <f t="shared" ca="1" si="77"/>
        <v>0</v>
      </c>
      <c r="R194" s="306">
        <f t="shared" ca="1" si="78"/>
        <v>0</v>
      </c>
      <c r="S194" s="307">
        <f t="shared" ca="1" si="79"/>
        <v>2.9792999999999985</v>
      </c>
      <c r="T194" s="304">
        <f t="shared" ca="1" si="59"/>
        <v>29.226932999999988</v>
      </c>
      <c r="U194" s="311">
        <f t="shared" ca="1" si="60"/>
        <v>0</v>
      </c>
      <c r="V194" s="306">
        <f t="shared" ca="1" si="61"/>
        <v>1.1273424338679057</v>
      </c>
      <c r="W194" s="304">
        <f t="shared" ca="1" si="62"/>
        <v>57.185979237020533</v>
      </c>
      <c r="Y194" s="314" t="str">
        <f t="shared" ca="1" si="80"/>
        <v/>
      </c>
      <c r="Z194" s="315" t="str">
        <f t="shared" ca="1" si="81"/>
        <v/>
      </c>
      <c r="AA194" s="316" t="str">
        <f t="shared" ca="1" si="82"/>
        <v/>
      </c>
      <c r="AC194" s="310" t="e">
        <f t="shared" ca="1" si="83"/>
        <v>#N/A</v>
      </c>
      <c r="AD194" s="323" t="e">
        <f t="shared" ca="1" si="84"/>
        <v>#N/A</v>
      </c>
      <c r="AE194" s="324">
        <f t="shared" ca="1" si="63"/>
        <v>830.30059506700343</v>
      </c>
      <c r="AG194" s="306">
        <f t="shared" ca="1" si="85"/>
        <v>-28.804877628895895</v>
      </c>
      <c r="AH194" s="304">
        <f t="shared" ca="1" si="86"/>
        <v>-19.267711506285369</v>
      </c>
    </row>
    <row r="195" spans="1:34" x14ac:dyDescent="0.2">
      <c r="A195" s="347">
        <f t="shared" ca="1" si="64"/>
        <v>0.01</v>
      </c>
      <c r="B195" s="304">
        <f t="shared" ca="1" si="65"/>
        <v>5.1099999999999595</v>
      </c>
      <c r="D195" s="306">
        <f t="shared" ca="1" si="66"/>
        <v>-4.4980805032862428</v>
      </c>
      <c r="E195" s="307">
        <f t="shared" ca="1" si="67"/>
        <v>-28.469946259434515</v>
      </c>
      <c r="F195" s="304">
        <f t="shared" ca="1" si="68"/>
        <v>28.82309088611305</v>
      </c>
      <c r="G195" s="306">
        <f t="shared" ca="1" si="69"/>
        <v>36.838535450268012</v>
      </c>
      <c r="H195" s="307">
        <f t="shared" ca="1" si="70"/>
        <v>152.72377396958868</v>
      </c>
      <c r="I195" s="304">
        <f t="shared" ca="1" si="71"/>
        <v>157.10387910435142</v>
      </c>
      <c r="J195" s="306">
        <f t="shared" ca="1" si="72"/>
        <v>176.87023836042107</v>
      </c>
      <c r="K195" s="307">
        <f t="shared" ca="1" si="73"/>
        <v>831.82925630401223</v>
      </c>
      <c r="L195" s="304">
        <f t="shared" ca="1" si="58"/>
        <v>850.42518357640279</v>
      </c>
      <c r="M195" s="306">
        <f t="shared" ca="1" si="74"/>
        <v>1.3341073508323535</v>
      </c>
      <c r="N195" s="304">
        <f t="shared" ca="1" si="75"/>
        <v>76.4387206200729</v>
      </c>
      <c r="P195" s="310">
        <f t="shared" ca="1" si="76"/>
        <v>13</v>
      </c>
      <c r="Q195" s="304">
        <f t="shared" ca="1" si="77"/>
        <v>0</v>
      </c>
      <c r="R195" s="306">
        <f t="shared" ca="1" si="78"/>
        <v>0</v>
      </c>
      <c r="S195" s="307">
        <f t="shared" ca="1" si="79"/>
        <v>2.9792999999999985</v>
      </c>
      <c r="T195" s="304">
        <f t="shared" ca="1" si="59"/>
        <v>29.226932999999988</v>
      </c>
      <c r="U195" s="311">
        <f t="shared" ca="1" si="60"/>
        <v>0</v>
      </c>
      <c r="V195" s="306">
        <f t="shared" ca="1" si="61"/>
        <v>1.1271698165403259</v>
      </c>
      <c r="W195" s="304">
        <f t="shared" ca="1" si="62"/>
        <v>56.968664307385744</v>
      </c>
      <c r="Y195" s="314" t="str">
        <f t="shared" ca="1" si="80"/>
        <v/>
      </c>
      <c r="Z195" s="315" t="str">
        <f t="shared" ca="1" si="81"/>
        <v/>
      </c>
      <c r="AA195" s="316" t="str">
        <f t="shared" ca="1" si="82"/>
        <v/>
      </c>
      <c r="AC195" s="310" t="e">
        <f t="shared" ca="1" si="83"/>
        <v>#N/A</v>
      </c>
      <c r="AD195" s="323" t="e">
        <f t="shared" ca="1" si="84"/>
        <v>#N/A</v>
      </c>
      <c r="AE195" s="324">
        <f t="shared" ca="1" si="63"/>
        <v>831.82925630401223</v>
      </c>
      <c r="AG195" s="306">
        <f t="shared" ca="1" si="85"/>
        <v>-28.731265320771413</v>
      </c>
      <c r="AH195" s="304">
        <f t="shared" ca="1" si="86"/>
        <v>-19.194434678287035</v>
      </c>
    </row>
    <row r="196" spans="1:34" x14ac:dyDescent="0.2">
      <c r="A196" s="347">
        <f t="shared" ca="1" si="64"/>
        <v>0.01</v>
      </c>
      <c r="B196" s="304">
        <f t="shared" ca="1" si="65"/>
        <v>5.1199999999999593</v>
      </c>
      <c r="D196" s="306">
        <f t="shared" ca="1" si="66"/>
        <v>-4.4837072412580019</v>
      </c>
      <c r="E196" s="307">
        <f t="shared" ca="1" si="67"/>
        <v>-28.398379882368886</v>
      </c>
      <c r="F196" s="304">
        <f t="shared" ca="1" si="68"/>
        <v>28.750158444235456</v>
      </c>
      <c r="G196" s="306">
        <f t="shared" ca="1" si="69"/>
        <v>36.793698377855435</v>
      </c>
      <c r="H196" s="307">
        <f t="shared" ca="1" si="70"/>
        <v>152.43979017076498</v>
      </c>
      <c r="I196" s="304">
        <f t="shared" ca="1" si="71"/>
        <v>156.81730091934199</v>
      </c>
      <c r="J196" s="306">
        <f t="shared" ca="1" si="72"/>
        <v>177.23839952956169</v>
      </c>
      <c r="K196" s="307">
        <f t="shared" ca="1" si="73"/>
        <v>833.35507412471395</v>
      </c>
      <c r="L196" s="304">
        <f t="shared" ref="L196:L259" ca="1" si="87">SQRT(pos_x^2+pos_z^2)</f>
        <v>851.99420763125374</v>
      </c>
      <c r="M196" s="306">
        <f t="shared" ca="1" si="74"/>
        <v>1.3339606642189941</v>
      </c>
      <c r="N196" s="304">
        <f t="shared" ca="1" si="75"/>
        <v>76.43031609621633</v>
      </c>
      <c r="P196" s="310">
        <f t="shared" ca="1" si="76"/>
        <v>13</v>
      </c>
      <c r="Q196" s="304">
        <f t="shared" ca="1" si="77"/>
        <v>0</v>
      </c>
      <c r="R196" s="306">
        <f t="shared" ca="1" si="78"/>
        <v>0</v>
      </c>
      <c r="S196" s="307">
        <f t="shared" ca="1" si="79"/>
        <v>2.9792999999999985</v>
      </c>
      <c r="T196" s="304">
        <f t="shared" ref="T196:T259" ca="1" si="88">m*g</f>
        <v>29.226932999999988</v>
      </c>
      <c r="U196" s="311">
        <f t="shared" ref="U196:U259" ca="1" si="89">IF(pos_xz&lt;L_rampe,Poids*COS(Beta),0)</f>
        <v>0</v>
      </c>
      <c r="V196" s="306">
        <f t="shared" ref="V196:V259" ca="1" si="90">Rho_moyen*(20000-Alt_rampe-pos_z)/(20000+Alt_rampe+pos_z)</f>
        <v>1.1269975455541779</v>
      </c>
      <c r="W196" s="304">
        <f t="shared" ref="W196:W259" ca="1" si="91">1/2*Rho*Sref*Cx*vit_xz^2</f>
        <v>56.752342092068545</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833.35507412471395</v>
      </c>
      <c r="AG196" s="306">
        <f t="shared" ca="1" si="85"/>
        <v>-28.657987212541229</v>
      </c>
      <c r="AH196" s="304">
        <f t="shared" ca="1" si="86"/>
        <v>-19.121493071320703</v>
      </c>
    </row>
    <row r="197" spans="1:34" x14ac:dyDescent="0.2">
      <c r="A197" s="347">
        <f t="shared" ref="A197:A260" ca="1" si="93">IF(B196+0.01&lt;=T_ini+ROUNDUP(Temps_fin_propu,0), 0.01, IF(K196&gt;0, 0.1, 0.0001))</f>
        <v>0.01</v>
      </c>
      <c r="B197" s="304">
        <f t="shared" ref="B197:B260" ca="1" si="94">B196+pas</f>
        <v>5.129999999999959</v>
      </c>
      <c r="D197" s="306">
        <f t="shared" ref="D197:D260" ca="1" si="95">IF(AND(L196&lt;L_rampe,Poussee&lt;Poids*SIN(M196)),0,(-W196+Poussee)/m*COS(M196)-U196/m*SIN(M196))</f>
        <v>-4.469397909596962</v>
      </c>
      <c r="E197" s="307">
        <f t="shared" ref="E197:E260" ca="1" si="96">IF(AND(L196&lt;L_rampe,Poussee&lt;Poids*SIN(M196)),0,(-W196+Poussee)/m*SIN(M196)+U196/m*COS(M196)-Poids/m)</f>
        <v>-28.327140422574921</v>
      </c>
      <c r="F197" s="304">
        <f t="shared" ref="F197:F260" ca="1" si="97">SQRT(acc_x^2+acc_z^2)</f>
        <v>28.677559209154946</v>
      </c>
      <c r="G197" s="306">
        <f t="shared" ref="G197:G260" ca="1" si="98">G196+acc_x*pas</f>
        <v>36.749004398759467</v>
      </c>
      <c r="H197" s="307">
        <f t="shared" ref="H197:H260" ca="1" si="99">H196+acc_z*pas</f>
        <v>152.15651876653922</v>
      </c>
      <c r="I197" s="304">
        <f t="shared" ref="I197:I260" ca="1" si="100">SQRT(vit_x^2+vit_z^2)</f>
        <v>156.53145219875859</v>
      </c>
      <c r="J197" s="306">
        <f t="shared" ref="J197:J260" ca="1" si="101">J196+0.5*(vit_x+G196)*pas*(K196&gt;=0)</f>
        <v>177.60611304344476</v>
      </c>
      <c r="K197" s="307">
        <f t="shared" ref="K197:K260" ca="1" si="102">K196+0.5*(vit_z+H196)*pas</f>
        <v>834.87805566940051</v>
      </c>
      <c r="L197" s="304">
        <f t="shared" ca="1" si="87"/>
        <v>853.56036648190229</v>
      </c>
      <c r="M197" s="306">
        <f t="shared" ref="M197:M260" ca="1" si="103">IF(AND(L196&gt;L_rampe,G197&gt;0),ATAN2(G197,H197),$M$4)</f>
        <v>1.3338136203694808</v>
      </c>
      <c r="N197" s="304">
        <f t="shared" ref="N197:N260" ca="1" si="104">DEGREES(Beta)</f>
        <v>76.421891104235868</v>
      </c>
      <c r="P197" s="310">
        <f t="shared" ref="P197:P260" ca="1" si="105">MATCH(t-pas/2-T_ini,CdP_t)</f>
        <v>13</v>
      </c>
      <c r="Q197" s="304">
        <f t="shared" ref="Q197:Q260" ca="1" si="106">(INDEX(CdP,2,i_P+1)-INDEX(CdP,2,i_P+0))/(INDEX(CdP,1,i_P+1)-INDEX(CdP,1,i_P+0))*(t-pas/2-T_ini-INDEX(CdP,1,i_P+0))+INDEX(CdP,2,i_P+0)</f>
        <v>0</v>
      </c>
      <c r="R197" s="306">
        <f t="shared" ref="R197:R260" ca="1" si="107">Poussee/(g*ISP)</f>
        <v>0</v>
      </c>
      <c r="S197" s="307">
        <f t="shared" ref="S197:S260" ca="1" si="108">S196-Débit*pas</f>
        <v>2.9792999999999985</v>
      </c>
      <c r="T197" s="304">
        <f t="shared" ca="1" si="88"/>
        <v>29.226932999999988</v>
      </c>
      <c r="U197" s="311">
        <f t="shared" ca="1" si="89"/>
        <v>0</v>
      </c>
      <c r="V197" s="306">
        <f t="shared" ca="1" si="90"/>
        <v>1.1268256199568474</v>
      </c>
      <c r="W197" s="304">
        <f t="shared" ca="1" si="91"/>
        <v>56.537006626984329</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834.87805566940051</v>
      </c>
      <c r="AG197" s="306">
        <f t="shared" ref="AG197:AG260" ca="1" si="114">IF(AND(L196&lt;L_rampe,Poussee&lt;Poids*SIN(M196)),0,(-W196+Poussee)/m-Poids*SIN(M196)/m)</f>
        <v>-28.585041283659489</v>
      </c>
      <c r="AH197" s="304">
        <f t="shared" ref="AH197:AH260" ca="1" si="115">IF(AND(L196&lt;L_rampe,Poussee&lt;Poids*SIN(M196)), g*SIN(M196), (-W196+Poussee)/m)</f>
        <v>-19.048884668233669</v>
      </c>
    </row>
    <row r="198" spans="1:34" x14ac:dyDescent="0.2">
      <c r="A198" s="347">
        <f t="shared" ca="1" si="93"/>
        <v>0.01</v>
      </c>
      <c r="B198" s="304">
        <f t="shared" ca="1" si="94"/>
        <v>5.1399999999999588</v>
      </c>
      <c r="D198" s="306">
        <f t="shared" ca="1" si="95"/>
        <v>-4.4551521211188554</v>
      </c>
      <c r="E198" s="307">
        <f t="shared" ca="1" si="96"/>
        <v>-28.256225915924176</v>
      </c>
      <c r="F198" s="304">
        <f t="shared" ca="1" si="97"/>
        <v>28.60529117897692</v>
      </c>
      <c r="G198" s="306">
        <f t="shared" ca="1" si="98"/>
        <v>36.704452877548277</v>
      </c>
      <c r="H198" s="307">
        <f t="shared" ca="1" si="99"/>
        <v>151.87395650737997</v>
      </c>
      <c r="I198" s="304">
        <f t="shared" ca="1" si="100"/>
        <v>156.24632964087732</v>
      </c>
      <c r="J198" s="306">
        <f t="shared" ca="1" si="101"/>
        <v>177.97338032982631</v>
      </c>
      <c r="K198" s="307">
        <f t="shared" ca="1" si="102"/>
        <v>836.39820804577016</v>
      </c>
      <c r="L198" s="304">
        <f t="shared" ca="1" si="87"/>
        <v>855.12366738864182</v>
      </c>
      <c r="M198" s="306">
        <f t="shared" ca="1" si="103"/>
        <v>1.3336662184469041</v>
      </c>
      <c r="N198" s="304">
        <f t="shared" ca="1" si="104"/>
        <v>76.413445596180111</v>
      </c>
      <c r="P198" s="310">
        <f t="shared" ca="1" si="105"/>
        <v>13</v>
      </c>
      <c r="Q198" s="304">
        <f t="shared" ca="1" si="106"/>
        <v>0</v>
      </c>
      <c r="R198" s="306">
        <f t="shared" ca="1" si="107"/>
        <v>0</v>
      </c>
      <c r="S198" s="307">
        <f t="shared" ca="1" si="108"/>
        <v>2.9792999999999985</v>
      </c>
      <c r="T198" s="304">
        <f t="shared" ca="1" si="88"/>
        <v>29.226932999999988</v>
      </c>
      <c r="U198" s="311">
        <f t="shared" ca="1" si="89"/>
        <v>0</v>
      </c>
      <c r="V198" s="306">
        <f t="shared" ca="1" si="90"/>
        <v>1.1266540388001958</v>
      </c>
      <c r="W198" s="304">
        <f t="shared" ca="1" si="91"/>
        <v>56.322651993250993</v>
      </c>
      <c r="Y198" s="314" t="str">
        <f t="shared" ca="1" si="109"/>
        <v/>
      </c>
      <c r="Z198" s="315" t="str">
        <f t="shared" ca="1" si="110"/>
        <v/>
      </c>
      <c r="AA198" s="316" t="str">
        <f t="shared" ca="1" si="111"/>
        <v/>
      </c>
      <c r="AC198" s="310" t="e">
        <f t="shared" ca="1" si="112"/>
        <v>#N/A</v>
      </c>
      <c r="AD198" s="323" t="e">
        <f t="shared" ca="1" si="113"/>
        <v>#N/A</v>
      </c>
      <c r="AE198" s="324">
        <f t="shared" ca="1" si="92"/>
        <v>836.39820804577016</v>
      </c>
      <c r="AG198" s="306">
        <f t="shared" ca="1" si="114"/>
        <v>-28.512425528876712</v>
      </c>
      <c r="AH198" s="304">
        <f t="shared" ca="1" si="115"/>
        <v>-18.97660746718503</v>
      </c>
    </row>
    <row r="199" spans="1:34" x14ac:dyDescent="0.2">
      <c r="A199" s="347">
        <f t="shared" ca="1" si="93"/>
        <v>0.01</v>
      </c>
      <c r="B199" s="304">
        <f t="shared" ca="1" si="94"/>
        <v>5.1499999999999586</v>
      </c>
      <c r="D199" s="306">
        <f t="shared" ca="1" si="95"/>
        <v>-4.4409694915707041</v>
      </c>
      <c r="E199" s="307">
        <f t="shared" ca="1" si="96"/>
        <v>-28.185634413174292</v>
      </c>
      <c r="F199" s="304">
        <f t="shared" ca="1" si="97"/>
        <v>28.533352366978832</v>
      </c>
      <c r="G199" s="306">
        <f t="shared" ca="1" si="98"/>
        <v>36.66004318263257</v>
      </c>
      <c r="H199" s="307">
        <f t="shared" ca="1" si="99"/>
        <v>151.59210016324823</v>
      </c>
      <c r="I199" s="304">
        <f t="shared" ca="1" si="100"/>
        <v>155.96192996387538</v>
      </c>
      <c r="J199" s="306">
        <f t="shared" ca="1" si="101"/>
        <v>178.34020281012721</v>
      </c>
      <c r="K199" s="307">
        <f t="shared" ca="1" si="102"/>
        <v>837.91553832912325</v>
      </c>
      <c r="L199" s="304">
        <f t="shared" ca="1" si="87"/>
        <v>856.68411757878516</v>
      </c>
      <c r="M199" s="306">
        <f t="shared" ca="1" si="103"/>
        <v>1.3335184576111714</v>
      </c>
      <c r="N199" s="304">
        <f t="shared" ca="1" si="104"/>
        <v>76.404979523915287</v>
      </c>
      <c r="P199" s="310">
        <f t="shared" ca="1" si="105"/>
        <v>13</v>
      </c>
      <c r="Q199" s="304">
        <f t="shared" ca="1" si="106"/>
        <v>0</v>
      </c>
      <c r="R199" s="306">
        <f t="shared" ca="1" si="107"/>
        <v>0</v>
      </c>
      <c r="S199" s="307">
        <f t="shared" ca="1" si="108"/>
        <v>2.9792999999999985</v>
      </c>
      <c r="T199" s="304">
        <f t="shared" ca="1" si="88"/>
        <v>29.226932999999988</v>
      </c>
      <c r="U199" s="311">
        <f t="shared" ca="1" si="89"/>
        <v>0</v>
      </c>
      <c r="V199" s="306">
        <f t="shared" ca="1" si="90"/>
        <v>1.126482801140533</v>
      </c>
      <c r="W199" s="304">
        <f t="shared" ca="1" si="91"/>
        <v>56.109272316777762</v>
      </c>
      <c r="Y199" s="314" t="str">
        <f t="shared" ca="1" si="109"/>
        <v/>
      </c>
      <c r="Z199" s="315" t="str">
        <f t="shared" ca="1" si="110"/>
        <v/>
      </c>
      <c r="AA199" s="316" t="str">
        <f t="shared" ca="1" si="111"/>
        <v/>
      </c>
      <c r="AC199" s="310" t="e">
        <f t="shared" ca="1" si="112"/>
        <v>#N/A</v>
      </c>
      <c r="AD199" s="323" t="e">
        <f t="shared" ca="1" si="113"/>
        <v>#N/A</v>
      </c>
      <c r="AE199" s="324">
        <f t="shared" ca="1" si="92"/>
        <v>837.91553832912325</v>
      </c>
      <c r="AG199" s="306">
        <f t="shared" ca="1" si="114"/>
        <v>-28.440137958100067</v>
      </c>
      <c r="AH199" s="304">
        <f t="shared" ca="1" si="115"/>
        <v>-18.904659481506066</v>
      </c>
    </row>
    <row r="200" spans="1:34" x14ac:dyDescent="0.2">
      <c r="A200" s="347">
        <f t="shared" ca="1" si="93"/>
        <v>0.01</v>
      </c>
      <c r="B200" s="304">
        <f t="shared" ca="1" si="94"/>
        <v>5.1599999999999584</v>
      </c>
      <c r="D200" s="306">
        <f t="shared" ca="1" si="95"/>
        <v>-4.4268496396041161</v>
      </c>
      <c r="E200" s="307">
        <f t="shared" ca="1" si="96"/>
        <v>-28.115363979833596</v>
      </c>
      <c r="F200" s="304">
        <f t="shared" ca="1" si="97"/>
        <v>28.461740801472203</v>
      </c>
      <c r="G200" s="306">
        <f t="shared" ca="1" si="98"/>
        <v>36.615774686236527</v>
      </c>
      <c r="H200" s="307">
        <f t="shared" ca="1" si="99"/>
        <v>151.3109465234499</v>
      </c>
      <c r="I200" s="304">
        <f t="shared" ca="1" si="100"/>
        <v>155.67824990568064</v>
      </c>
      <c r="J200" s="306">
        <f t="shared" ca="1" si="101"/>
        <v>178.70658189947156</v>
      </c>
      <c r="K200" s="307">
        <f t="shared" ca="1" si="102"/>
        <v>839.43005356255674</v>
      </c>
      <c r="L200" s="304">
        <f t="shared" ca="1" si="87"/>
        <v>858.24172424686367</v>
      </c>
      <c r="M200" s="306">
        <f t="shared" ca="1" si="103"/>
        <v>1.3333703370189922</v>
      </c>
      <c r="N200" s="304">
        <f t="shared" ca="1" si="104"/>
        <v>76.396492839124448</v>
      </c>
      <c r="P200" s="310">
        <f t="shared" ca="1" si="105"/>
        <v>13</v>
      </c>
      <c r="Q200" s="304">
        <f t="shared" ca="1" si="106"/>
        <v>0</v>
      </c>
      <c r="R200" s="306">
        <f t="shared" ca="1" si="107"/>
        <v>0</v>
      </c>
      <c r="S200" s="307">
        <f t="shared" ca="1" si="108"/>
        <v>2.9792999999999985</v>
      </c>
      <c r="T200" s="304">
        <f t="shared" ca="1" si="88"/>
        <v>29.226932999999988</v>
      </c>
      <c r="U200" s="311">
        <f t="shared" ca="1" si="89"/>
        <v>0</v>
      </c>
      <c r="V200" s="306">
        <f t="shared" ca="1" si="90"/>
        <v>1.1263119060385878</v>
      </c>
      <c r="W200" s="304">
        <f t="shared" ca="1" si="91"/>
        <v>55.896861767857793</v>
      </c>
      <c r="Y200" s="314" t="str">
        <f t="shared" ca="1" si="109"/>
        <v/>
      </c>
      <c r="Z200" s="315" t="str">
        <f t="shared" ca="1" si="110"/>
        <v/>
      </c>
      <c r="AA200" s="316" t="str">
        <f t="shared" ca="1" si="111"/>
        <v/>
      </c>
      <c r="AC200" s="310" t="e">
        <f t="shared" ca="1" si="112"/>
        <v>#N/A</v>
      </c>
      <c r="AD200" s="323" t="e">
        <f t="shared" ca="1" si="113"/>
        <v>#N/A</v>
      </c>
      <c r="AE200" s="324">
        <f t="shared" ca="1" si="92"/>
        <v>839.43005356255674</v>
      </c>
      <c r="AG200" s="306">
        <f t="shared" ca="1" si="114"/>
        <v>-28.368176596255338</v>
      </c>
      <c r="AH200" s="304">
        <f t="shared" ca="1" si="115"/>
        <v>-18.833038739562245</v>
      </c>
    </row>
    <row r="201" spans="1:34" x14ac:dyDescent="0.2">
      <c r="A201" s="347">
        <f t="shared" ca="1" si="93"/>
        <v>0.01</v>
      </c>
      <c r="B201" s="304">
        <f t="shared" ca="1" si="94"/>
        <v>5.1699999999999582</v>
      </c>
      <c r="D201" s="306">
        <f t="shared" ca="1" si="95"/>
        <v>-4.4127921867488809</v>
      </c>
      <c r="E201" s="307">
        <f t="shared" ca="1" si="96"/>
        <v>-28.045412696026894</v>
      </c>
      <c r="F201" s="304">
        <f t="shared" ca="1" si="97"/>
        <v>28.390454525665813</v>
      </c>
      <c r="G201" s="306">
        <f t="shared" ca="1" si="98"/>
        <v>36.571646764369035</v>
      </c>
      <c r="H201" s="307">
        <f t="shared" ca="1" si="99"/>
        <v>151.03049239648962</v>
      </c>
      <c r="I201" s="304">
        <f t="shared" ca="1" si="100"/>
        <v>155.39528622382306</v>
      </c>
      <c r="J201" s="306">
        <f t="shared" ca="1" si="101"/>
        <v>179.07251900672458</v>
      </c>
      <c r="K201" s="307">
        <f t="shared" ca="1" si="102"/>
        <v>840.94176075715643</v>
      </c>
      <c r="L201" s="304">
        <f t="shared" ca="1" si="87"/>
        <v>859.79649455482206</v>
      </c>
      <c r="M201" s="306">
        <f t="shared" ca="1" si="103"/>
        <v>1.3332218558238653</v>
      </c>
      <c r="N201" s="304">
        <f t="shared" ca="1" si="104"/>
        <v>76.387985493306616</v>
      </c>
      <c r="P201" s="310">
        <f t="shared" ca="1" si="105"/>
        <v>13</v>
      </c>
      <c r="Q201" s="304">
        <f t="shared" ca="1" si="106"/>
        <v>0</v>
      </c>
      <c r="R201" s="306">
        <f t="shared" ca="1" si="107"/>
        <v>0</v>
      </c>
      <c r="S201" s="307">
        <f t="shared" ca="1" si="108"/>
        <v>2.9792999999999985</v>
      </c>
      <c r="T201" s="304">
        <f t="shared" ca="1" si="88"/>
        <v>29.226932999999988</v>
      </c>
      <c r="U201" s="311">
        <f t="shared" ca="1" si="89"/>
        <v>0</v>
      </c>
      <c r="V201" s="306">
        <f t="shared" ca="1" si="90"/>
        <v>1.1261413525594834</v>
      </c>
      <c r="W201" s="304">
        <f t="shared" ca="1" si="91"/>
        <v>55.685414560765835</v>
      </c>
      <c r="Y201" s="314" t="str">
        <f t="shared" ca="1" si="109"/>
        <v/>
      </c>
      <c r="Z201" s="315" t="str">
        <f t="shared" ca="1" si="110"/>
        <v/>
      </c>
      <c r="AA201" s="316" t="str">
        <f t="shared" ca="1" si="111"/>
        <v/>
      </c>
      <c r="AC201" s="310" t="e">
        <f t="shared" ca="1" si="112"/>
        <v>#N/A</v>
      </c>
      <c r="AD201" s="323" t="e">
        <f t="shared" ca="1" si="113"/>
        <v>#N/A</v>
      </c>
      <c r="AE201" s="324">
        <f t="shared" ca="1" si="92"/>
        <v>840.94176075715643</v>
      </c>
      <c r="AG201" s="306">
        <f t="shared" ca="1" si="114"/>
        <v>-28.296539483150035</v>
      </c>
      <c r="AH201" s="304">
        <f t="shared" ca="1" si="115"/>
        <v>-18.761743284616461</v>
      </c>
    </row>
    <row r="202" spans="1:34" x14ac:dyDescent="0.2">
      <c r="A202" s="347">
        <f t="shared" ca="1" si="93"/>
        <v>0.01</v>
      </c>
      <c r="B202" s="304">
        <f t="shared" ca="1" si="94"/>
        <v>5.179999999999958</v>
      </c>
      <c r="D202" s="306">
        <f t="shared" ca="1" si="95"/>
        <v>-4.3987967573868874</v>
      </c>
      <c r="E202" s="307">
        <f t="shared" ca="1" si="96"/>
        <v>-27.975778656363048</v>
      </c>
      <c r="F202" s="304">
        <f t="shared" ca="1" si="97"/>
        <v>28.319491597530767</v>
      </c>
      <c r="G202" s="306">
        <f t="shared" ca="1" si="98"/>
        <v>36.527658796795166</v>
      </c>
      <c r="H202" s="307">
        <f t="shared" ca="1" si="99"/>
        <v>150.75073460992598</v>
      </c>
      <c r="I202" s="304">
        <f t="shared" ca="1" si="100"/>
        <v>155.11303569528715</v>
      </c>
      <c r="J202" s="306">
        <f t="shared" ca="1" si="101"/>
        <v>179.43801553453039</v>
      </c>
      <c r="K202" s="307">
        <f t="shared" ca="1" si="102"/>
        <v>842.45066689218856</v>
      </c>
      <c r="L202" s="304">
        <f t="shared" ca="1" si="87"/>
        <v>861.34843563221477</v>
      </c>
      <c r="M202" s="306">
        <f t="shared" ca="1" si="103"/>
        <v>1.3330730131760664</v>
      </c>
      <c r="N202" s="304">
        <f t="shared" ca="1" si="104"/>
        <v>76.379457437776182</v>
      </c>
      <c r="P202" s="310">
        <f t="shared" ca="1" si="105"/>
        <v>13</v>
      </c>
      <c r="Q202" s="304">
        <f t="shared" ca="1" si="106"/>
        <v>0</v>
      </c>
      <c r="R202" s="306">
        <f t="shared" ca="1" si="107"/>
        <v>0</v>
      </c>
      <c r="S202" s="307">
        <f t="shared" ca="1" si="108"/>
        <v>2.9792999999999985</v>
      </c>
      <c r="T202" s="304">
        <f t="shared" ca="1" si="88"/>
        <v>29.226932999999988</v>
      </c>
      <c r="U202" s="311">
        <f t="shared" ca="1" si="89"/>
        <v>0</v>
      </c>
      <c r="V202" s="306">
        <f t="shared" ca="1" si="90"/>
        <v>1.1259711397727097</v>
      </c>
      <c r="W202" s="304">
        <f t="shared" ca="1" si="91"/>
        <v>55.474924953359725</v>
      </c>
      <c r="Y202" s="314" t="str">
        <f t="shared" ca="1" si="109"/>
        <v/>
      </c>
      <c r="Z202" s="315" t="str">
        <f t="shared" ca="1" si="110"/>
        <v/>
      </c>
      <c r="AA202" s="316" t="str">
        <f t="shared" ca="1" si="111"/>
        <v/>
      </c>
      <c r="AC202" s="310" t="e">
        <f t="shared" ca="1" si="112"/>
        <v>#N/A</v>
      </c>
      <c r="AD202" s="323" t="e">
        <f t="shared" ca="1" si="113"/>
        <v>#N/A</v>
      </c>
      <c r="AE202" s="324">
        <f t="shared" ca="1" si="92"/>
        <v>842.45066689218856</v>
      </c>
      <c r="AG202" s="306">
        <f t="shared" ca="1" si="114"/>
        <v>-28.225224673338317</v>
      </c>
      <c r="AH202" s="304">
        <f t="shared" ca="1" si="115"/>
        <v>-18.69077117469401</v>
      </c>
    </row>
    <row r="203" spans="1:34" x14ac:dyDescent="0.2">
      <c r="A203" s="347">
        <f t="shared" ca="1" si="93"/>
        <v>0.01</v>
      </c>
      <c r="B203" s="304">
        <f t="shared" ca="1" si="94"/>
        <v>5.1899999999999578</v>
      </c>
      <c r="D203" s="306">
        <f t="shared" ca="1" si="95"/>
        <v>-4.3848629787262459</v>
      </c>
      <c r="E203" s="307">
        <f t="shared" ca="1" si="96"/>
        <v>-27.906459969803649</v>
      </c>
      <c r="F203" s="304">
        <f t="shared" ca="1" si="97"/>
        <v>28.248850089666615</v>
      </c>
      <c r="G203" s="306">
        <f t="shared" ca="1" si="98"/>
        <v>36.483810167007903</v>
      </c>
      <c r="H203" s="307">
        <f t="shared" ca="1" si="99"/>
        <v>150.47167001022794</v>
      </c>
      <c r="I203" s="304">
        <f t="shared" ca="1" si="100"/>
        <v>154.83149511636577</v>
      </c>
      <c r="J203" s="306">
        <f t="shared" ca="1" si="101"/>
        <v>179.8030728793494</v>
      </c>
      <c r="K203" s="307">
        <f t="shared" ca="1" si="102"/>
        <v>843.95677891528931</v>
      </c>
      <c r="L203" s="304">
        <f t="shared" ca="1" si="87"/>
        <v>862.89755457639762</v>
      </c>
      <c r="M203" s="306">
        <f t="shared" ca="1" si="103"/>
        <v>1.3329238082226338</v>
      </c>
      <c r="N203" s="304">
        <f t="shared" ca="1" si="104"/>
        <v>76.370908623662046</v>
      </c>
      <c r="P203" s="310">
        <f t="shared" ca="1" si="105"/>
        <v>13</v>
      </c>
      <c r="Q203" s="304">
        <f t="shared" ca="1" si="106"/>
        <v>0</v>
      </c>
      <c r="R203" s="306">
        <f t="shared" ca="1" si="107"/>
        <v>0</v>
      </c>
      <c r="S203" s="307">
        <f t="shared" ca="1" si="108"/>
        <v>2.9792999999999985</v>
      </c>
      <c r="T203" s="304">
        <f t="shared" ca="1" si="88"/>
        <v>29.226932999999988</v>
      </c>
      <c r="U203" s="311">
        <f t="shared" ca="1" si="89"/>
        <v>0</v>
      </c>
      <c r="V203" s="306">
        <f t="shared" ca="1" si="90"/>
        <v>1.125801266752096</v>
      </c>
      <c r="W203" s="304">
        <f t="shared" ca="1" si="91"/>
        <v>55.265387246686068</v>
      </c>
      <c r="Y203" s="314" t="str">
        <f t="shared" ca="1" si="109"/>
        <v/>
      </c>
      <c r="Z203" s="315" t="str">
        <f t="shared" ca="1" si="110"/>
        <v/>
      </c>
      <c r="AA203" s="316" t="str">
        <f t="shared" ca="1" si="111"/>
        <v/>
      </c>
      <c r="AC203" s="310" t="e">
        <f t="shared" ca="1" si="112"/>
        <v>#N/A</v>
      </c>
      <c r="AD203" s="323" t="e">
        <f t="shared" ca="1" si="113"/>
        <v>#N/A</v>
      </c>
      <c r="AE203" s="324">
        <f t="shared" ca="1" si="92"/>
        <v>843.95677891528931</v>
      </c>
      <c r="AG203" s="306">
        <f t="shared" ca="1" si="114"/>
        <v>-28.154230235987129</v>
      </c>
      <c r="AH203" s="304">
        <f t="shared" ca="1" si="115"/>
        <v>-18.620120482448815</v>
      </c>
    </row>
    <row r="204" spans="1:34" x14ac:dyDescent="0.2">
      <c r="A204" s="347">
        <f t="shared" ca="1" si="93"/>
        <v>0.01</v>
      </c>
      <c r="B204" s="304">
        <f t="shared" ca="1" si="94"/>
        <v>5.1999999999999575</v>
      </c>
      <c r="D204" s="306">
        <f t="shared" ca="1" si="95"/>
        <v>-4.3709904807757356</v>
      </c>
      <c r="E204" s="307">
        <f t="shared" ca="1" si="96"/>
        <v>-27.837454759533237</v>
      </c>
      <c r="F204" s="304">
        <f t="shared" ca="1" si="97"/>
        <v>28.178528089169095</v>
      </c>
      <c r="G204" s="306">
        <f t="shared" ca="1" si="98"/>
        <v>36.440100262200147</v>
      </c>
      <c r="H204" s="307">
        <f t="shared" ca="1" si="99"/>
        <v>150.19329546263262</v>
      </c>
      <c r="I204" s="304">
        <f t="shared" ca="1" si="100"/>
        <v>154.55066130251549</v>
      </c>
      <c r="J204" s="306">
        <f t="shared" ca="1" si="101"/>
        <v>180.16769243149545</v>
      </c>
      <c r="K204" s="307">
        <f t="shared" ca="1" si="102"/>
        <v>845.46010374265359</v>
      </c>
      <c r="L204" s="304">
        <f t="shared" ca="1" si="87"/>
        <v>864.44385845272132</v>
      </c>
      <c r="M204" s="306">
        <f t="shared" ca="1" si="103"/>
        <v>1.3327742401073557</v>
      </c>
      <c r="N204" s="304">
        <f t="shared" ca="1" si="104"/>
        <v>76.362339001906889</v>
      </c>
      <c r="P204" s="310">
        <f t="shared" ca="1" si="105"/>
        <v>13</v>
      </c>
      <c r="Q204" s="304">
        <f t="shared" ca="1" si="106"/>
        <v>0</v>
      </c>
      <c r="R204" s="306">
        <f t="shared" ca="1" si="107"/>
        <v>0</v>
      </c>
      <c r="S204" s="307">
        <f t="shared" ca="1" si="108"/>
        <v>2.9792999999999985</v>
      </c>
      <c r="T204" s="304">
        <f t="shared" ca="1" si="88"/>
        <v>29.226932999999988</v>
      </c>
      <c r="U204" s="311">
        <f t="shared" ca="1" si="89"/>
        <v>0</v>
      </c>
      <c r="V204" s="306">
        <f t="shared" ca="1" si="90"/>
        <v>1.1256317325757852</v>
      </c>
      <c r="W204" s="304">
        <f t="shared" ca="1" si="91"/>
        <v>55.056795784590371</v>
      </c>
      <c r="Y204" s="314" t="str">
        <f t="shared" ca="1" si="109"/>
        <v/>
      </c>
      <c r="Z204" s="315" t="str">
        <f t="shared" ca="1" si="110"/>
        <v/>
      </c>
      <c r="AA204" s="316" t="str">
        <f t="shared" ca="1" si="111"/>
        <v/>
      </c>
      <c r="AC204" s="310" t="e">
        <f t="shared" ca="1" si="112"/>
        <v>#N/A</v>
      </c>
      <c r="AD204" s="323" t="e">
        <f t="shared" ca="1" si="113"/>
        <v>#N/A</v>
      </c>
      <c r="AE204" s="324">
        <f t="shared" ca="1" si="92"/>
        <v>845.46010374265359</v>
      </c>
      <c r="AG204" s="306">
        <f t="shared" ca="1" si="114"/>
        <v>-28.083554254743781</v>
      </c>
      <c r="AH204" s="304">
        <f t="shared" ca="1" si="115"/>
        <v>-18.549789295031079</v>
      </c>
    </row>
    <row r="205" spans="1:34" x14ac:dyDescent="0.2">
      <c r="A205" s="347">
        <f t="shared" ca="1" si="93"/>
        <v>0.1</v>
      </c>
      <c r="B205" s="304">
        <f t="shared" ca="1" si="94"/>
        <v>5.2999999999999572</v>
      </c>
      <c r="D205" s="306">
        <f t="shared" ca="1" si="95"/>
        <v>-4.3571788963195033</v>
      </c>
      <c r="E205" s="307">
        <f t="shared" ca="1" si="96"/>
        <v>-27.768761162830856</v>
      </c>
      <c r="F205" s="304">
        <f t="shared" ca="1" si="97"/>
        <v>28.108523697499223</v>
      </c>
      <c r="G205" s="306">
        <f t="shared" ca="1" si="98"/>
        <v>36.004382372568195</v>
      </c>
      <c r="H205" s="307">
        <f t="shared" ca="1" si="99"/>
        <v>147.41641934634953</v>
      </c>
      <c r="I205" s="304">
        <f t="shared" ca="1" si="100"/>
        <v>151.74951809784727</v>
      </c>
      <c r="J205" s="306">
        <f t="shared" ca="1" si="101"/>
        <v>183.78991656323387</v>
      </c>
      <c r="K205" s="307">
        <f t="shared" ca="1" si="102"/>
        <v>860.34058948310269</v>
      </c>
      <c r="L205" s="304">
        <f t="shared" ca="1" si="87"/>
        <v>879.75261485400154</v>
      </c>
      <c r="M205" s="306">
        <f t="shared" ca="1" si="103"/>
        <v>1.3312500099483415</v>
      </c>
      <c r="N205" s="304">
        <f t="shared" ca="1" si="104"/>
        <v>76.275007046788829</v>
      </c>
      <c r="P205" s="310">
        <f t="shared" ca="1" si="105"/>
        <v>23</v>
      </c>
      <c r="Q205" s="304">
        <f t="shared" ca="1" si="106"/>
        <v>0</v>
      </c>
      <c r="R205" s="306">
        <f t="shared" ca="1" si="107"/>
        <v>0</v>
      </c>
      <c r="S205" s="307">
        <f t="shared" ca="1" si="108"/>
        <v>2.9792999999999985</v>
      </c>
      <c r="T205" s="304">
        <f t="shared" ca="1" si="88"/>
        <v>29.226932999999988</v>
      </c>
      <c r="U205" s="311">
        <f t="shared" ca="1" si="89"/>
        <v>0</v>
      </c>
      <c r="V205" s="306">
        <f t="shared" ca="1" si="90"/>
        <v>1.1239549362728873</v>
      </c>
      <c r="W205" s="304">
        <f t="shared" ca="1" si="91"/>
        <v>53.000065902547078</v>
      </c>
      <c r="Y205" s="314" t="str">
        <f t="shared" ca="1" si="109"/>
        <v/>
      </c>
      <c r="Z205" s="315" t="str">
        <f t="shared" ca="1" si="110"/>
        <v/>
      </c>
      <c r="AA205" s="316" t="str">
        <f t="shared" ca="1" si="111"/>
        <v/>
      </c>
      <c r="AC205" s="310" t="e">
        <f t="shared" ca="1" si="112"/>
        <v>#N/A</v>
      </c>
      <c r="AD205" s="323" t="e">
        <f t="shared" ca="1" si="113"/>
        <v>#N/A</v>
      </c>
      <c r="AE205" s="324">
        <f t="shared" ca="1" si="92"/>
        <v>860.34058948310269</v>
      </c>
      <c r="AG205" s="306">
        <f t="shared" ca="1" si="114"/>
        <v>-28.013194827604991</v>
      </c>
      <c r="AH205" s="304">
        <f t="shared" ca="1" si="115"/>
        <v>-18.479775713956432</v>
      </c>
    </row>
    <row r="206" spans="1:34" x14ac:dyDescent="0.2">
      <c r="A206" s="347">
        <f t="shared" ca="1" si="93"/>
        <v>0.1</v>
      </c>
      <c r="B206" s="304">
        <f t="shared" ca="1" si="94"/>
        <v>5.3999999999999568</v>
      </c>
      <c r="D206" s="306">
        <f t="shared" ca="1" si="95"/>
        <v>-4.2207557205603994</v>
      </c>
      <c r="E206" s="307">
        <f t="shared" ca="1" si="96"/>
        <v>-27.091471150431325</v>
      </c>
      <c r="F206" s="304">
        <f t="shared" ca="1" si="97"/>
        <v>27.418289296513304</v>
      </c>
      <c r="G206" s="306">
        <f t="shared" ca="1" si="98"/>
        <v>35.582306800512157</v>
      </c>
      <c r="H206" s="307">
        <f t="shared" ca="1" si="99"/>
        <v>144.7072722313064</v>
      </c>
      <c r="I206" s="304">
        <f t="shared" ca="1" si="100"/>
        <v>149.01776804754255</v>
      </c>
      <c r="J206" s="306">
        <f t="shared" ca="1" si="101"/>
        <v>187.36925102188789</v>
      </c>
      <c r="K206" s="307">
        <f t="shared" ca="1" si="102"/>
        <v>874.94677406198548</v>
      </c>
      <c r="L206" s="304">
        <f t="shared" ca="1" si="87"/>
        <v>894.78438389925998</v>
      </c>
      <c r="M206" s="306">
        <f t="shared" ca="1" si="103"/>
        <v>1.3296880885515356</v>
      </c>
      <c r="N206" s="304">
        <f t="shared" ca="1" si="104"/>
        <v>76.185515542820667</v>
      </c>
      <c r="P206" s="310">
        <f t="shared" ca="1" si="105"/>
        <v>23</v>
      </c>
      <c r="Q206" s="304">
        <f t="shared" ca="1" si="106"/>
        <v>0</v>
      </c>
      <c r="R206" s="306">
        <f t="shared" ca="1" si="107"/>
        <v>0</v>
      </c>
      <c r="S206" s="307">
        <f t="shared" ca="1" si="108"/>
        <v>2.9792999999999985</v>
      </c>
      <c r="T206" s="304">
        <f t="shared" ca="1" si="88"/>
        <v>29.226932999999988</v>
      </c>
      <c r="U206" s="311">
        <f t="shared" ca="1" si="89"/>
        <v>0</v>
      </c>
      <c r="V206" s="306">
        <f t="shared" ca="1" si="90"/>
        <v>1.1223113742682498</v>
      </c>
      <c r="W206" s="304">
        <f t="shared" ca="1" si="91"/>
        <v>51.034321181765975</v>
      </c>
      <c r="Y206" s="314" t="str">
        <f t="shared" ca="1" si="109"/>
        <v/>
      </c>
      <c r="Z206" s="315" t="str">
        <f t="shared" ca="1" si="110"/>
        <v/>
      </c>
      <c r="AA206" s="316" t="str">
        <f t="shared" ca="1" si="111"/>
        <v/>
      </c>
      <c r="AC206" s="310" t="e">
        <f t="shared" ca="1" si="112"/>
        <v>#N/A</v>
      </c>
      <c r="AD206" s="323" t="e">
        <f t="shared" ca="1" si="113"/>
        <v>#N/A</v>
      </c>
      <c r="AE206" s="324">
        <f t="shared" ca="1" si="92"/>
        <v>874.94677406198548</v>
      </c>
      <c r="AG206" s="306">
        <f t="shared" ca="1" si="114"/>
        <v>-27.319318220257244</v>
      </c>
      <c r="AH206" s="304">
        <f t="shared" ca="1" si="115"/>
        <v>-17.789435740793845</v>
      </c>
    </row>
    <row r="207" spans="1:34" x14ac:dyDescent="0.2">
      <c r="A207" s="347">
        <f t="shared" ca="1" si="93"/>
        <v>0.1</v>
      </c>
      <c r="B207" s="304">
        <f t="shared" ca="1" si="94"/>
        <v>5.4999999999999565</v>
      </c>
      <c r="D207" s="306">
        <f t="shared" ca="1" si="95"/>
        <v>-4.0901962998986887</v>
      </c>
      <c r="E207" s="307">
        <f t="shared" ca="1" si="96"/>
        <v>-26.444142152930979</v>
      </c>
      <c r="F207" s="304">
        <f t="shared" ca="1" si="97"/>
        <v>26.758594133028105</v>
      </c>
      <c r="G207" s="306">
        <f t="shared" ca="1" si="98"/>
        <v>35.173287170522286</v>
      </c>
      <c r="H207" s="307">
        <f t="shared" ca="1" si="99"/>
        <v>142.06285801601331</v>
      </c>
      <c r="I207" s="304">
        <f t="shared" ca="1" si="100"/>
        <v>146.35236847437073</v>
      </c>
      <c r="J207" s="306">
        <f t="shared" ca="1" si="101"/>
        <v>190.90703072043962</v>
      </c>
      <c r="K207" s="307">
        <f t="shared" ca="1" si="102"/>
        <v>889.28528057435142</v>
      </c>
      <c r="L207" s="304">
        <f t="shared" ca="1" si="87"/>
        <v>909.54593321321488</v>
      </c>
      <c r="M207" s="306">
        <f t="shared" ca="1" si="103"/>
        <v>1.3280875524177558</v>
      </c>
      <c r="N207" s="304">
        <f t="shared" ca="1" si="104"/>
        <v>76.093811577396892</v>
      </c>
      <c r="P207" s="310">
        <f t="shared" ca="1" si="105"/>
        <v>23</v>
      </c>
      <c r="Q207" s="304">
        <f t="shared" ca="1" si="106"/>
        <v>0</v>
      </c>
      <c r="R207" s="306">
        <f t="shared" ca="1" si="107"/>
        <v>0</v>
      </c>
      <c r="S207" s="307">
        <f t="shared" ca="1" si="108"/>
        <v>2.9792999999999985</v>
      </c>
      <c r="T207" s="304">
        <f t="shared" ca="1" si="88"/>
        <v>29.226932999999988</v>
      </c>
      <c r="U207" s="311">
        <f t="shared" ca="1" si="89"/>
        <v>0</v>
      </c>
      <c r="V207" s="306">
        <f t="shared" ca="1" si="90"/>
        <v>1.1207001683809041</v>
      </c>
      <c r="W207" s="304">
        <f t="shared" ca="1" si="91"/>
        <v>49.154334091169396</v>
      </c>
      <c r="Y207" s="314" t="str">
        <f t="shared" ca="1" si="109"/>
        <v/>
      </c>
      <c r="Z207" s="315" t="str">
        <f t="shared" ca="1" si="110"/>
        <v/>
      </c>
      <c r="AA207" s="316" t="str">
        <f t="shared" ca="1" si="111"/>
        <v/>
      </c>
      <c r="AC207" s="310" t="e">
        <f t="shared" ca="1" si="112"/>
        <v>#N/A</v>
      </c>
      <c r="AD207" s="323" t="e">
        <f t="shared" ca="1" si="113"/>
        <v>#N/A</v>
      </c>
      <c r="AE207" s="324">
        <f t="shared" ca="1" si="92"/>
        <v>889.28528057435142</v>
      </c>
      <c r="AG207" s="306">
        <f t="shared" ca="1" si="114"/>
        <v>-26.65587029727606</v>
      </c>
      <c r="AH207" s="304">
        <f t="shared" ca="1" si="115"/>
        <v>-17.129634874556441</v>
      </c>
    </row>
    <row r="208" spans="1:34" x14ac:dyDescent="0.2">
      <c r="A208" s="347">
        <f t="shared" ca="1" si="93"/>
        <v>0.1</v>
      </c>
      <c r="B208" s="304">
        <f t="shared" ca="1" si="94"/>
        <v>5.5999999999999561</v>
      </c>
      <c r="D208" s="306">
        <f t="shared" ca="1" si="95"/>
        <v>-3.965160607903591</v>
      </c>
      <c r="E208" s="307">
        <f t="shared" ca="1" si="96"/>
        <v>-25.825052722265433</v>
      </c>
      <c r="F208" s="304">
        <f t="shared" ca="1" si="97"/>
        <v>26.127683532113206</v>
      </c>
      <c r="G208" s="306">
        <f t="shared" ca="1" si="98"/>
        <v>34.776771109731925</v>
      </c>
      <c r="H208" s="307">
        <f t="shared" ca="1" si="99"/>
        <v>139.48035274378677</v>
      </c>
      <c r="I208" s="304">
        <f t="shared" ca="1" si="100"/>
        <v>143.75045255702631</v>
      </c>
      <c r="J208" s="306">
        <f t="shared" ca="1" si="101"/>
        <v>194.40453363445232</v>
      </c>
      <c r="K208" s="307">
        <f t="shared" ca="1" si="102"/>
        <v>903.36244111234146</v>
      </c>
      <c r="L208" s="304">
        <f t="shared" ca="1" si="87"/>
        <v>924.04373419772594</v>
      </c>
      <c r="M208" s="306">
        <f t="shared" ca="1" si="103"/>
        <v>1.32644744163394</v>
      </c>
      <c r="N208" s="304">
        <f t="shared" ca="1" si="104"/>
        <v>75.999840151550359</v>
      </c>
      <c r="P208" s="310">
        <f t="shared" ca="1" si="105"/>
        <v>23</v>
      </c>
      <c r="Q208" s="304">
        <f t="shared" ca="1" si="106"/>
        <v>0</v>
      </c>
      <c r="R208" s="306">
        <f t="shared" ca="1" si="107"/>
        <v>0</v>
      </c>
      <c r="S208" s="307">
        <f t="shared" ca="1" si="108"/>
        <v>2.9792999999999985</v>
      </c>
      <c r="T208" s="304">
        <f t="shared" ca="1" si="88"/>
        <v>29.226932999999988</v>
      </c>
      <c r="U208" s="311">
        <f t="shared" ca="1" si="89"/>
        <v>0</v>
      </c>
      <c r="V208" s="306">
        <f t="shared" ca="1" si="90"/>
        <v>1.119120480044288</v>
      </c>
      <c r="W208" s="304">
        <f t="shared" ca="1" si="91"/>
        <v>47.355252225385378</v>
      </c>
      <c r="Y208" s="314" t="str">
        <f t="shared" ca="1" si="109"/>
        <v/>
      </c>
      <c r="Z208" s="315" t="str">
        <f t="shared" ca="1" si="110"/>
        <v/>
      </c>
      <c r="AA208" s="316" t="str">
        <f t="shared" ca="1" si="111"/>
        <v/>
      </c>
      <c r="AC208" s="310" t="e">
        <f t="shared" ca="1" si="112"/>
        <v>#N/A</v>
      </c>
      <c r="AD208" s="323" t="e">
        <f t="shared" ca="1" si="113"/>
        <v>#N/A</v>
      </c>
      <c r="AE208" s="324">
        <f t="shared" ca="1" si="92"/>
        <v>903.36244111234146</v>
      </c>
      <c r="AG208" s="306">
        <f t="shared" ca="1" si="114"/>
        <v>-26.021092590279395</v>
      </c>
      <c r="AH208" s="304">
        <f t="shared" ca="1" si="115"/>
        <v>-16.498618498026186</v>
      </c>
    </row>
    <row r="209" spans="1:34" x14ac:dyDescent="0.2">
      <c r="A209" s="347">
        <f t="shared" ca="1" si="93"/>
        <v>0.1</v>
      </c>
      <c r="B209" s="304">
        <f t="shared" ca="1" si="94"/>
        <v>5.6999999999999558</v>
      </c>
      <c r="D209" s="306">
        <f t="shared" ca="1" si="95"/>
        <v>-3.8453329896547608</v>
      </c>
      <c r="E209" s="307">
        <f t="shared" ca="1" si="96"/>
        <v>-25.232604937129278</v>
      </c>
      <c r="F209" s="304">
        <f t="shared" ca="1" si="97"/>
        <v>25.523928728049842</v>
      </c>
      <c r="G209" s="306">
        <f t="shared" ca="1" si="98"/>
        <v>34.392237810766446</v>
      </c>
      <c r="H209" s="307">
        <f t="shared" ca="1" si="99"/>
        <v>136.95709225007383</v>
      </c>
      <c r="I209" s="304">
        <f t="shared" ca="1" si="100"/>
        <v>141.20931675788091</v>
      </c>
      <c r="J209" s="306">
        <f t="shared" ca="1" si="101"/>
        <v>197.86298408047725</v>
      </c>
      <c r="K209" s="307">
        <f t="shared" ca="1" si="102"/>
        <v>917.18431336203446</v>
      </c>
      <c r="L209" s="304">
        <f t="shared" ca="1" si="87"/>
        <v>938.28397894593604</v>
      </c>
      <c r="M209" s="306">
        <f t="shared" ca="1" si="103"/>
        <v>1.3247667582885456</v>
      </c>
      <c r="N209" s="304">
        <f t="shared" ca="1" si="104"/>
        <v>75.903544089161329</v>
      </c>
      <c r="P209" s="310">
        <f t="shared" ca="1" si="105"/>
        <v>23</v>
      </c>
      <c r="Q209" s="304">
        <f t="shared" ca="1" si="106"/>
        <v>0</v>
      </c>
      <c r="R209" s="306">
        <f t="shared" ca="1" si="107"/>
        <v>0</v>
      </c>
      <c r="S209" s="307">
        <f t="shared" ca="1" si="108"/>
        <v>2.9792999999999985</v>
      </c>
      <c r="T209" s="304">
        <f t="shared" ca="1" si="88"/>
        <v>29.226932999999988</v>
      </c>
      <c r="U209" s="311">
        <f t="shared" ca="1" si="89"/>
        <v>0</v>
      </c>
      <c r="V209" s="306">
        <f t="shared" ca="1" si="90"/>
        <v>1.1175715079968236</v>
      </c>
      <c r="W209" s="304">
        <f t="shared" ca="1" si="91"/>
        <v>45.632566347096827</v>
      </c>
      <c r="Y209" s="314" t="str">
        <f t="shared" ca="1" si="109"/>
        <v/>
      </c>
      <c r="Z209" s="315" t="str">
        <f t="shared" ca="1" si="110"/>
        <v/>
      </c>
      <c r="AA209" s="316" t="str">
        <f t="shared" ca="1" si="111"/>
        <v/>
      </c>
      <c r="AC209" s="310" t="e">
        <f t="shared" ca="1" si="112"/>
        <v>#N/A</v>
      </c>
      <c r="AD209" s="323" t="e">
        <f t="shared" ca="1" si="113"/>
        <v>#N/A</v>
      </c>
      <c r="AE209" s="324">
        <f t="shared" ca="1" si="92"/>
        <v>917.18431336203446</v>
      </c>
      <c r="AG209" s="306">
        <f t="shared" ca="1" si="114"/>
        <v>-25.413352358303726</v>
      </c>
      <c r="AH209" s="304">
        <f t="shared" ca="1" si="115"/>
        <v>-15.894757904670696</v>
      </c>
    </row>
    <row r="210" spans="1:34" x14ac:dyDescent="0.2">
      <c r="A210" s="347">
        <f t="shared" ca="1" si="93"/>
        <v>0.1</v>
      </c>
      <c r="B210" s="304">
        <f t="shared" ca="1" si="94"/>
        <v>5.7999999999999554</v>
      </c>
      <c r="D210" s="306">
        <f t="shared" ca="1" si="95"/>
        <v>-3.7304200848459854</v>
      </c>
      <c r="E210" s="307">
        <f t="shared" ca="1" si="96"/>
        <v>-24.665313879338228</v>
      </c>
      <c r="F210" s="304">
        <f t="shared" ca="1" si="97"/>
        <v>24.945816137695264</v>
      </c>
      <c r="G210" s="306">
        <f t="shared" ca="1" si="98"/>
        <v>34.01919580228185</v>
      </c>
      <c r="H210" s="307">
        <f t="shared" ca="1" si="99"/>
        <v>134.49056086214</v>
      </c>
      <c r="I210" s="304">
        <f t="shared" ca="1" si="100"/>
        <v>138.72640932442164</v>
      </c>
      <c r="J210" s="306">
        <f t="shared" ca="1" si="101"/>
        <v>201.28355576112966</v>
      </c>
      <c r="K210" s="307">
        <f t="shared" ca="1" si="102"/>
        <v>930.75669601764514</v>
      </c>
      <c r="L210" s="304">
        <f t="shared" ca="1" si="87"/>
        <v>952.27259595219209</v>
      </c>
      <c r="M210" s="306">
        <f t="shared" ca="1" si="103"/>
        <v>1.3230444647986563</v>
      </c>
      <c r="N210" s="304">
        <f t="shared" ca="1" si="104"/>
        <v>75.804863941107826</v>
      </c>
      <c r="P210" s="310">
        <f t="shared" ca="1" si="105"/>
        <v>23</v>
      </c>
      <c r="Q210" s="304">
        <f t="shared" ca="1" si="106"/>
        <v>0</v>
      </c>
      <c r="R210" s="306">
        <f t="shared" ca="1" si="107"/>
        <v>0</v>
      </c>
      <c r="S210" s="307">
        <f t="shared" ca="1" si="108"/>
        <v>2.9792999999999985</v>
      </c>
      <c r="T210" s="304">
        <f t="shared" ca="1" si="88"/>
        <v>29.226932999999988</v>
      </c>
      <c r="U210" s="311">
        <f t="shared" ca="1" si="89"/>
        <v>0</v>
      </c>
      <c r="V210" s="306">
        <f t="shared" ca="1" si="90"/>
        <v>1.11605248613983</v>
      </c>
      <c r="W210" s="304">
        <f t="shared" ca="1" si="91"/>
        <v>43.982081573944782</v>
      </c>
      <c r="Y210" s="314" t="str">
        <f t="shared" ca="1" si="109"/>
        <v/>
      </c>
      <c r="Z210" s="315" t="str">
        <f t="shared" ca="1" si="110"/>
        <v/>
      </c>
      <c r="AA210" s="316" t="str">
        <f t="shared" ca="1" si="111"/>
        <v/>
      </c>
      <c r="AC210" s="310" t="e">
        <f t="shared" ca="1" si="112"/>
        <v>#N/A</v>
      </c>
      <c r="AD210" s="323" t="e">
        <f t="shared" ca="1" si="113"/>
        <v>#N/A</v>
      </c>
      <c r="AE210" s="324">
        <f t="shared" ca="1" si="92"/>
        <v>930.75669601764514</v>
      </c>
      <c r="AG210" s="306">
        <f t="shared" ca="1" si="114"/>
        <v>-24.831131851262519</v>
      </c>
      <c r="AH210" s="304">
        <f t="shared" ca="1" si="115"/>
        <v>-15.316539572079632</v>
      </c>
    </row>
    <row r="211" spans="1:34" x14ac:dyDescent="0.2">
      <c r="A211" s="347">
        <f t="shared" ca="1" si="93"/>
        <v>0.1</v>
      </c>
      <c r="B211" s="304">
        <f t="shared" ca="1" si="94"/>
        <v>5.8999999999999551</v>
      </c>
      <c r="D211" s="306">
        <f t="shared" ca="1" si="95"/>
        <v>-3.6201489552825894</v>
      </c>
      <c r="E211" s="307">
        <f t="shared" ca="1" si="96"/>
        <v>-24.121798145674809</v>
      </c>
      <c r="F211" s="304">
        <f t="shared" ca="1" si="97"/>
        <v>24.391937689308619</v>
      </c>
      <c r="G211" s="306">
        <f t="shared" ca="1" si="98"/>
        <v>33.657180906753588</v>
      </c>
      <c r="H211" s="307">
        <f t="shared" ca="1" si="99"/>
        <v>132.07838104757252</v>
      </c>
      <c r="I211" s="304">
        <f t="shared" ca="1" si="100"/>
        <v>136.29931975889573</v>
      </c>
      <c r="J211" s="306">
        <f t="shared" ca="1" si="101"/>
        <v>204.66737459658142</v>
      </c>
      <c r="K211" s="307">
        <f t="shared" ca="1" si="102"/>
        <v>944.08514311313081</v>
      </c>
      <c r="L211" s="304">
        <f t="shared" ca="1" si="87"/>
        <v>966.01526471955822</v>
      </c>
      <c r="M211" s="306">
        <f t="shared" ca="1" si="103"/>
        <v>1.3212794821434319</v>
      </c>
      <c r="N211" s="304">
        <f t="shared" ca="1" si="104"/>
        <v>75.703737884049673</v>
      </c>
      <c r="P211" s="310">
        <f t="shared" ca="1" si="105"/>
        <v>23</v>
      </c>
      <c r="Q211" s="304">
        <f t="shared" ca="1" si="106"/>
        <v>0</v>
      </c>
      <c r="R211" s="306">
        <f t="shared" ca="1" si="107"/>
        <v>0</v>
      </c>
      <c r="S211" s="307">
        <f t="shared" ca="1" si="108"/>
        <v>2.9792999999999985</v>
      </c>
      <c r="T211" s="304">
        <f t="shared" ca="1" si="88"/>
        <v>29.226932999999988</v>
      </c>
      <c r="U211" s="311">
        <f t="shared" ca="1" si="89"/>
        <v>0</v>
      </c>
      <c r="V211" s="306">
        <f t="shared" ca="1" si="90"/>
        <v>1.1145626815484115</v>
      </c>
      <c r="W211" s="304">
        <f t="shared" ca="1" si="91"/>
        <v>42.399891360287462</v>
      </c>
      <c r="Y211" s="314" t="str">
        <f t="shared" ca="1" si="109"/>
        <v/>
      </c>
      <c r="Z211" s="315" t="str">
        <f t="shared" ca="1" si="110"/>
        <v/>
      </c>
      <c r="AA211" s="316" t="str">
        <f t="shared" ca="1" si="111"/>
        <v/>
      </c>
      <c r="AC211" s="310" t="e">
        <f t="shared" ca="1" si="112"/>
        <v>#N/A</v>
      </c>
      <c r="AD211" s="323" t="e">
        <f t="shared" ca="1" si="113"/>
        <v>#N/A</v>
      </c>
      <c r="AE211" s="324">
        <f t="shared" ca="1" si="92"/>
        <v>944.08514311313081</v>
      </c>
      <c r="AG211" s="306">
        <f t="shared" ca="1" si="114"/>
        <v>-24.273018628224033</v>
      </c>
      <c r="AH211" s="304">
        <f t="shared" ca="1" si="115"/>
        <v>-14.762555490868595</v>
      </c>
    </row>
    <row r="212" spans="1:34" x14ac:dyDescent="0.2">
      <c r="A212" s="347">
        <f t="shared" ca="1" si="93"/>
        <v>0.1</v>
      </c>
      <c r="B212" s="304">
        <f t="shared" ca="1" si="94"/>
        <v>5.9999999999999547</v>
      </c>
      <c r="D212" s="306">
        <f t="shared" ca="1" si="95"/>
        <v>-3.5142653940432376</v>
      </c>
      <c r="E212" s="307">
        <f t="shared" ca="1" si="96"/>
        <v>-23.600771280062951</v>
      </c>
      <c r="F212" s="304">
        <f t="shared" ca="1" si="97"/>
        <v>23.860982089461743</v>
      </c>
      <c r="G212" s="306">
        <f t="shared" ca="1" si="98"/>
        <v>33.305754367349266</v>
      </c>
      <c r="H212" s="307">
        <f t="shared" ca="1" si="99"/>
        <v>129.71830391956624</v>
      </c>
      <c r="I212" s="304">
        <f t="shared" ca="1" si="100"/>
        <v>133.92576916242504</v>
      </c>
      <c r="J212" s="306">
        <f t="shared" ca="1" si="101"/>
        <v>208.01552136028656</v>
      </c>
      <c r="K212" s="307">
        <f t="shared" ca="1" si="102"/>
        <v>957.17497736148778</v>
      </c>
      <c r="L212" s="304">
        <f t="shared" ca="1" si="87"/>
        <v>979.51742935680136</v>
      </c>
      <c r="M212" s="306">
        <f t="shared" ca="1" si="103"/>
        <v>1.3194706879981615</v>
      </c>
      <c r="N212" s="304">
        <f t="shared" ca="1" si="104"/>
        <v>75.600101613517694</v>
      </c>
      <c r="P212" s="310">
        <f t="shared" ca="1" si="105"/>
        <v>23</v>
      </c>
      <c r="Q212" s="304">
        <f t="shared" ca="1" si="106"/>
        <v>0</v>
      </c>
      <c r="R212" s="306">
        <f t="shared" ca="1" si="107"/>
        <v>0</v>
      </c>
      <c r="S212" s="307">
        <f t="shared" ca="1" si="108"/>
        <v>2.9792999999999985</v>
      </c>
      <c r="T212" s="304">
        <f t="shared" ca="1" si="88"/>
        <v>29.226932999999988</v>
      </c>
      <c r="U212" s="311">
        <f t="shared" ca="1" si="89"/>
        <v>0</v>
      </c>
      <c r="V212" s="306">
        <f t="shared" ca="1" si="90"/>
        <v>1.1131013926223903</v>
      </c>
      <c r="W212" s="304">
        <f t="shared" ca="1" si="91"/>
        <v>40.882353967371159</v>
      </c>
      <c r="Y212" s="314" t="str">
        <f t="shared" ca="1" si="109"/>
        <v/>
      </c>
      <c r="Z212" s="315" t="str">
        <f t="shared" ca="1" si="110"/>
        <v/>
      </c>
      <c r="AA212" s="316" t="str">
        <f t="shared" ca="1" si="111"/>
        <v/>
      </c>
      <c r="AC212" s="310">
        <f t="shared" ca="1" si="112"/>
        <v>5.9999999999999547</v>
      </c>
      <c r="AD212" s="323">
        <f t="shared" ca="1" si="113"/>
        <v>208.01552136028656</v>
      </c>
      <c r="AE212" s="324">
        <f t="shared" ca="1" si="92"/>
        <v>957.17497736148778</v>
      </c>
      <c r="AG212" s="306">
        <f t="shared" ca="1" si="114"/>
        <v>-23.737696813085179</v>
      </c>
      <c r="AH212" s="304">
        <f t="shared" ca="1" si="115"/>
        <v>-14.231494431674381</v>
      </c>
    </row>
    <row r="213" spans="1:34" x14ac:dyDescent="0.2">
      <c r="A213" s="347">
        <f t="shared" ca="1" si="93"/>
        <v>0.1</v>
      </c>
      <c r="B213" s="304">
        <f t="shared" ca="1" si="94"/>
        <v>6.0999999999999543</v>
      </c>
      <c r="D213" s="306">
        <f t="shared" ca="1" si="95"/>
        <v>-3.4125323963884164</v>
      </c>
      <c r="E213" s="307">
        <f t="shared" ca="1" si="96"/>
        <v>-23.101034025160534</v>
      </c>
      <c r="F213" s="304">
        <f t="shared" ca="1" si="97"/>
        <v>23.351726925176756</v>
      </c>
      <c r="G213" s="306">
        <f t="shared" ca="1" si="98"/>
        <v>32.964501127710427</v>
      </c>
      <c r="H213" s="307">
        <f t="shared" ca="1" si="99"/>
        <v>127.40820051705019</v>
      </c>
      <c r="I213" s="304">
        <f t="shared" ca="1" si="100"/>
        <v>131.60360137014371</v>
      </c>
      <c r="J213" s="306">
        <f t="shared" ca="1" si="101"/>
        <v>211.32903413503954</v>
      </c>
      <c r="K213" s="307">
        <f t="shared" ca="1" si="102"/>
        <v>970.03130258331862</v>
      </c>
      <c r="L213" s="304">
        <f t="shared" ca="1" si="87"/>
        <v>992.78431124788551</v>
      </c>
      <c r="M213" s="306">
        <f t="shared" ca="1" si="103"/>
        <v>1.3176169147627637</v>
      </c>
      <c r="N213" s="304">
        <f t="shared" ca="1" si="104"/>
        <v>75.493888230955093</v>
      </c>
      <c r="P213" s="310">
        <f t="shared" ca="1" si="105"/>
        <v>23</v>
      </c>
      <c r="Q213" s="304">
        <f t="shared" ca="1" si="106"/>
        <v>0</v>
      </c>
      <c r="R213" s="306">
        <f t="shared" ca="1" si="107"/>
        <v>0</v>
      </c>
      <c r="S213" s="307">
        <f t="shared" ca="1" si="108"/>
        <v>2.9792999999999985</v>
      </c>
      <c r="T213" s="304">
        <f t="shared" ca="1" si="88"/>
        <v>29.226932999999988</v>
      </c>
      <c r="U213" s="311">
        <f t="shared" ca="1" si="89"/>
        <v>0</v>
      </c>
      <c r="V213" s="306">
        <f t="shared" ca="1" si="90"/>
        <v>1.1116679473656121</v>
      </c>
      <c r="W213" s="304">
        <f t="shared" ca="1" si="91"/>
        <v>39.426071152846042</v>
      </c>
      <c r="Y213" s="314" t="str">
        <f t="shared" ca="1" si="109"/>
        <v/>
      </c>
      <c r="Z213" s="315" t="str">
        <f t="shared" ca="1" si="110"/>
        <v/>
      </c>
      <c r="AA213" s="316" t="str">
        <f t="shared" ca="1" si="111"/>
        <v/>
      </c>
      <c r="AC213" s="310" t="e">
        <f t="shared" ca="1" si="112"/>
        <v>#N/A</v>
      </c>
      <c r="AD213" s="323" t="e">
        <f t="shared" ca="1" si="113"/>
        <v>#N/A</v>
      </c>
      <c r="AE213" s="324">
        <f t="shared" ca="1" si="92"/>
        <v>970.03130258331862</v>
      </c>
      <c r="AG213" s="306">
        <f t="shared" ca="1" si="114"/>
        <v>-23.223939184732998</v>
      </c>
      <c r="AH213" s="304">
        <f t="shared" ca="1" si="115"/>
        <v>-13.72213404738401</v>
      </c>
    </row>
    <row r="214" spans="1:34" x14ac:dyDescent="0.2">
      <c r="A214" s="347">
        <f t="shared" ca="1" si="93"/>
        <v>0.1</v>
      </c>
      <c r="B214" s="304">
        <f t="shared" ca="1" si="94"/>
        <v>6.199999999999954</v>
      </c>
      <c r="D214" s="306">
        <f t="shared" ca="1" si="95"/>
        <v>-3.3147287749275791</v>
      </c>
      <c r="E214" s="307">
        <f t="shared" ca="1" si="96"/>
        <v>-22.62146730476676</v>
      </c>
      <c r="F214" s="304">
        <f t="shared" ca="1" si="97"/>
        <v>22.863031510977812</v>
      </c>
      <c r="G214" s="306">
        <f t="shared" ca="1" si="98"/>
        <v>32.63302825021767</v>
      </c>
      <c r="H214" s="307">
        <f t="shared" ca="1" si="99"/>
        <v>125.14605378657352</v>
      </c>
      <c r="I214" s="304">
        <f t="shared" ca="1" si="100"/>
        <v>129.33077480295034</v>
      </c>
      <c r="J214" s="306">
        <f t="shared" ca="1" si="101"/>
        <v>214.60891060393595</v>
      </c>
      <c r="K214" s="307">
        <f t="shared" ca="1" si="102"/>
        <v>982.65901529849975</v>
      </c>
      <c r="L214" s="304">
        <f t="shared" ca="1" si="87"/>
        <v>1005.8209208691303</v>
      </c>
      <c r="M214" s="306">
        <f t="shared" ca="1" si="103"/>
        <v>1.3157169474781303</v>
      </c>
      <c r="N214" s="304">
        <f t="shared" ca="1" si="104"/>
        <v>75.385028124332663</v>
      </c>
      <c r="P214" s="310">
        <f t="shared" ca="1" si="105"/>
        <v>23</v>
      </c>
      <c r="Q214" s="304">
        <f t="shared" ca="1" si="106"/>
        <v>0</v>
      </c>
      <c r="R214" s="306">
        <f t="shared" ca="1" si="107"/>
        <v>0</v>
      </c>
      <c r="S214" s="307">
        <f t="shared" ca="1" si="108"/>
        <v>2.9792999999999985</v>
      </c>
      <c r="T214" s="304">
        <f t="shared" ca="1" si="88"/>
        <v>29.226932999999988</v>
      </c>
      <c r="U214" s="311">
        <f t="shared" ca="1" si="89"/>
        <v>0</v>
      </c>
      <c r="V214" s="306">
        <f t="shared" ca="1" si="90"/>
        <v>1.1102617017830771</v>
      </c>
      <c r="W214" s="304">
        <f t="shared" ca="1" si="91"/>
        <v>38.027868842930914</v>
      </c>
      <c r="Y214" s="314" t="str">
        <f t="shared" ca="1" si="109"/>
        <v/>
      </c>
      <c r="Z214" s="315" t="str">
        <f t="shared" ca="1" si="110"/>
        <v/>
      </c>
      <c r="AA214" s="316" t="str">
        <f t="shared" ca="1" si="111"/>
        <v/>
      </c>
      <c r="AC214" s="310" t="e">
        <f t="shared" ca="1" si="112"/>
        <v>#N/A</v>
      </c>
      <c r="AD214" s="323" t="e">
        <f t="shared" ca="1" si="113"/>
        <v>#N/A</v>
      </c>
      <c r="AE214" s="324">
        <f t="shared" ca="1" si="92"/>
        <v>982.65901529849975</v>
      </c>
      <c r="AG214" s="306">
        <f t="shared" ca="1" si="114"/>
        <v>-22.730600011326317</v>
      </c>
      <c r="AH214" s="304">
        <f t="shared" ca="1" si="115"/>
        <v>-13.233333720285323</v>
      </c>
    </row>
    <row r="215" spans="1:34" x14ac:dyDescent="0.2">
      <c r="A215" s="347">
        <f t="shared" ca="1" si="93"/>
        <v>0.1</v>
      </c>
      <c r="B215" s="304">
        <f t="shared" ca="1" si="94"/>
        <v>6.2999999999999536</v>
      </c>
      <c r="D215" s="306">
        <f t="shared" ca="1" si="95"/>
        <v>-3.2206479036612494</v>
      </c>
      <c r="E215" s="307">
        <f t="shared" ca="1" si="96"/>
        <v>-22.161025859100818</v>
      </c>
      <c r="F215" s="304">
        <f t="shared" ca="1" si="97"/>
        <v>22.393830401409506</v>
      </c>
      <c r="G215" s="306">
        <f t="shared" ca="1" si="98"/>
        <v>32.310963459851543</v>
      </c>
      <c r="H215" s="307">
        <f t="shared" ca="1" si="99"/>
        <v>122.92995120066344</v>
      </c>
      <c r="I215" s="304">
        <f t="shared" ca="1" si="100"/>
        <v>127.10535496941644</v>
      </c>
      <c r="J215" s="306">
        <f t="shared" ca="1" si="101"/>
        <v>217.85611018943942</v>
      </c>
      <c r="K215" s="307">
        <f t="shared" ca="1" si="102"/>
        <v>995.06281554786165</v>
      </c>
      <c r="L215" s="304">
        <f t="shared" ca="1" si="87"/>
        <v>1018.6320688221587</v>
      </c>
      <c r="M215" s="306">
        <f t="shared" ca="1" si="103"/>
        <v>1.3137695216232401</v>
      </c>
      <c r="N215" s="304">
        <f t="shared" ca="1" si="104"/>
        <v>75.273448841932804</v>
      </c>
      <c r="P215" s="310">
        <f t="shared" ca="1" si="105"/>
        <v>23</v>
      </c>
      <c r="Q215" s="304">
        <f t="shared" ca="1" si="106"/>
        <v>0</v>
      </c>
      <c r="R215" s="306">
        <f t="shared" ca="1" si="107"/>
        <v>0</v>
      </c>
      <c r="S215" s="307">
        <f t="shared" ca="1" si="108"/>
        <v>2.9792999999999985</v>
      </c>
      <c r="T215" s="304">
        <f t="shared" ca="1" si="88"/>
        <v>29.226932999999988</v>
      </c>
      <c r="U215" s="311">
        <f t="shared" ca="1" si="89"/>
        <v>0</v>
      </c>
      <c r="V215" s="306">
        <f t="shared" ca="1" si="90"/>
        <v>1.1088820383863354</v>
      </c>
      <c r="W215" s="304">
        <f t="shared" ca="1" si="91"/>
        <v>36.684779578622205</v>
      </c>
      <c r="Y215" s="314" t="str">
        <f t="shared" ca="1" si="109"/>
        <v/>
      </c>
      <c r="Z215" s="315" t="str">
        <f t="shared" ca="1" si="110"/>
        <v/>
      </c>
      <c r="AA215" s="316" t="str">
        <f t="shared" ca="1" si="111"/>
        <v/>
      </c>
      <c r="AC215" s="310" t="e">
        <f t="shared" ca="1" si="112"/>
        <v>#N/A</v>
      </c>
      <c r="AD215" s="323" t="e">
        <f t="shared" ca="1" si="113"/>
        <v>#N/A</v>
      </c>
      <c r="AE215" s="324">
        <f t="shared" ca="1" si="92"/>
        <v>995.06281554786165</v>
      </c>
      <c r="AG215" s="306">
        <f t="shared" ca="1" si="114"/>
        <v>-22.256608549191142</v>
      </c>
      <c r="AH215" s="304">
        <f t="shared" ca="1" si="115"/>
        <v>-12.764028074692355</v>
      </c>
    </row>
    <row r="216" spans="1:34" x14ac:dyDescent="0.2">
      <c r="A216" s="347">
        <f t="shared" ca="1" si="93"/>
        <v>0.1</v>
      </c>
      <c r="B216" s="304">
        <f t="shared" ca="1" si="94"/>
        <v>6.3999999999999533</v>
      </c>
      <c r="D216" s="306">
        <f t="shared" ca="1" si="95"/>
        <v>-3.1300965773403049</v>
      </c>
      <c r="E216" s="307">
        <f t="shared" ca="1" si="96"/>
        <v>-21.718732464258593</v>
      </c>
      <c r="F216" s="304">
        <f t="shared" ca="1" si="97"/>
        <v>21.943127499003364</v>
      </c>
      <c r="G216" s="306">
        <f t="shared" ca="1" si="98"/>
        <v>31.997953802117511</v>
      </c>
      <c r="H216" s="307">
        <f t="shared" ca="1" si="99"/>
        <v>120.75807795423758</v>
      </c>
      <c r="I216" s="304">
        <f t="shared" ca="1" si="100"/>
        <v>124.92550755840124</v>
      </c>
      <c r="J216" s="306">
        <f t="shared" ca="1" si="101"/>
        <v>221.07155605253789</v>
      </c>
      <c r="K216" s="307">
        <f t="shared" ca="1" si="102"/>
        <v>1007.2472170056067</v>
      </c>
      <c r="L216" s="304">
        <f t="shared" ca="1" si="87"/>
        <v>1031.222376144462</v>
      </c>
      <c r="M216" s="306">
        <f t="shared" ca="1" si="103"/>
        <v>1.3117733207854427</v>
      </c>
      <c r="N216" s="304">
        <f t="shared" ca="1" si="104"/>
        <v>75.15907495886654</v>
      </c>
      <c r="P216" s="310">
        <f t="shared" ca="1" si="105"/>
        <v>23</v>
      </c>
      <c r="Q216" s="304">
        <f t="shared" ca="1" si="106"/>
        <v>0</v>
      </c>
      <c r="R216" s="306">
        <f t="shared" ca="1" si="107"/>
        <v>0</v>
      </c>
      <c r="S216" s="307">
        <f t="shared" ca="1" si="108"/>
        <v>2.9792999999999985</v>
      </c>
      <c r="T216" s="304">
        <f t="shared" ca="1" si="88"/>
        <v>29.226932999999988</v>
      </c>
      <c r="U216" s="311">
        <f t="shared" ca="1" si="89"/>
        <v>0</v>
      </c>
      <c r="V216" s="306">
        <f t="shared" ca="1" si="90"/>
        <v>1.1075283647985037</v>
      </c>
      <c r="W216" s="304">
        <f t="shared" ca="1" si="91"/>
        <v>35.394026551771951</v>
      </c>
      <c r="Y216" s="314" t="str">
        <f t="shared" ca="1" si="109"/>
        <v/>
      </c>
      <c r="Z216" s="315" t="str">
        <f t="shared" ca="1" si="110"/>
        <v/>
      </c>
      <c r="AA216" s="316" t="str">
        <f t="shared" ca="1" si="111"/>
        <v/>
      </c>
      <c r="AC216" s="310" t="e">
        <f t="shared" ca="1" si="112"/>
        <v>#N/A</v>
      </c>
      <c r="AD216" s="323" t="e">
        <f t="shared" ca="1" si="113"/>
        <v>#N/A</v>
      </c>
      <c r="AE216" s="324">
        <f t="shared" ca="1" si="92"/>
        <v>1007.2472170056067</v>
      </c>
      <c r="AG216" s="306">
        <f t="shared" ca="1" si="114"/>
        <v>-21.800963136246889</v>
      </c>
      <c r="AH216" s="304">
        <f t="shared" ca="1" si="115"/>
        <v>-12.313221085027431</v>
      </c>
    </row>
    <row r="217" spans="1:34" x14ac:dyDescent="0.2">
      <c r="A217" s="347">
        <f t="shared" ca="1" si="93"/>
        <v>0.1</v>
      </c>
      <c r="B217" s="304">
        <f t="shared" ca="1" si="94"/>
        <v>6.4999999999999529</v>
      </c>
      <c r="D217" s="306">
        <f t="shared" ca="1" si="95"/>
        <v>-3.0428939741728662</v>
      </c>
      <c r="E217" s="307">
        <f t="shared" ca="1" si="96"/>
        <v>-21.293672675198685</v>
      </c>
      <c r="F217" s="304">
        <f t="shared" ca="1" si="97"/>
        <v>21.509990695873409</v>
      </c>
      <c r="G217" s="306">
        <f t="shared" ca="1" si="98"/>
        <v>31.693664404700225</v>
      </c>
      <c r="H217" s="307">
        <f t="shared" ca="1" si="99"/>
        <v>118.62871068671771</v>
      </c>
      <c r="I217" s="304">
        <f t="shared" ca="1" si="100"/>
        <v>122.78949206911288</v>
      </c>
      <c r="J217" s="306">
        <f t="shared" ca="1" si="101"/>
        <v>224.25613696287877</v>
      </c>
      <c r="K217" s="307">
        <f t="shared" ca="1" si="102"/>
        <v>1019.2165564376544</v>
      </c>
      <c r="L217" s="304">
        <f t="shared" ca="1" si="87"/>
        <v>1043.5962839537824</v>
      </c>
      <c r="M217" s="306">
        <f t="shared" ca="1" si="103"/>
        <v>1.3097269741957696</v>
      </c>
      <c r="N217" s="304">
        <f t="shared" ca="1" si="104"/>
        <v>75.04182793585727</v>
      </c>
      <c r="P217" s="310">
        <f t="shared" ca="1" si="105"/>
        <v>23</v>
      </c>
      <c r="Q217" s="304">
        <f t="shared" ca="1" si="106"/>
        <v>0</v>
      </c>
      <c r="R217" s="306">
        <f t="shared" ca="1" si="107"/>
        <v>0</v>
      </c>
      <c r="S217" s="307">
        <f t="shared" ca="1" si="108"/>
        <v>2.9792999999999985</v>
      </c>
      <c r="T217" s="304">
        <f t="shared" ca="1" si="88"/>
        <v>29.226932999999988</v>
      </c>
      <c r="U217" s="311">
        <f t="shared" ca="1" si="89"/>
        <v>0</v>
      </c>
      <c r="V217" s="306">
        <f t="shared" ca="1" si="90"/>
        <v>1.1062001124510294</v>
      </c>
      <c r="W217" s="304">
        <f t="shared" ca="1" si="91"/>
        <v>34.153009068143625</v>
      </c>
      <c r="Y217" s="314" t="str">
        <f t="shared" ca="1" si="109"/>
        <v/>
      </c>
      <c r="Z217" s="315" t="str">
        <f t="shared" ca="1" si="110"/>
        <v/>
      </c>
      <c r="AA217" s="316" t="str">
        <f t="shared" ca="1" si="111"/>
        <v/>
      </c>
      <c r="AC217" s="310" t="e">
        <f t="shared" ca="1" si="112"/>
        <v>#N/A</v>
      </c>
      <c r="AD217" s="323" t="e">
        <f t="shared" ca="1" si="113"/>
        <v>#N/A</v>
      </c>
      <c r="AE217" s="324">
        <f t="shared" ca="1" si="92"/>
        <v>1019.2165564376544</v>
      </c>
      <c r="AG217" s="306">
        <f t="shared" ca="1" si="114"/>
        <v>-21.362725818075038</v>
      </c>
      <c r="AH217" s="304">
        <f t="shared" ca="1" si="115"/>
        <v>-11.879980717541693</v>
      </c>
    </row>
    <row r="218" spans="1:34" x14ac:dyDescent="0.2">
      <c r="A218" s="347">
        <f t="shared" ca="1" si="93"/>
        <v>0.1</v>
      </c>
      <c r="B218" s="304">
        <f t="shared" ca="1" si="94"/>
        <v>6.5999999999999526</v>
      </c>
      <c r="D218" s="306">
        <f t="shared" ca="1" si="95"/>
        <v>-2.9588707112926591</v>
      </c>
      <c r="E218" s="307">
        <f t="shared" ca="1" si="96"/>
        <v>-20.884990038617449</v>
      </c>
      <c r="F218" s="304">
        <f t="shared" ca="1" si="97"/>
        <v>21.093546994265701</v>
      </c>
      <c r="G218" s="306">
        <f t="shared" ca="1" si="98"/>
        <v>31.397777333570961</v>
      </c>
      <c r="H218" s="307">
        <f t="shared" ca="1" si="99"/>
        <v>116.54021168285597</v>
      </c>
      <c r="I218" s="304">
        <f t="shared" ca="1" si="100"/>
        <v>120.69565593083034</v>
      </c>
      <c r="J218" s="306">
        <f t="shared" ca="1" si="101"/>
        <v>227.41070904979233</v>
      </c>
      <c r="K218" s="307">
        <f t="shared" ca="1" si="102"/>
        <v>1030.9750025561332</v>
      </c>
      <c r="L218" s="304">
        <f t="shared" ca="1" si="87"/>
        <v>1055.7580624774541</v>
      </c>
      <c r="M218" s="306">
        <f t="shared" ca="1" si="103"/>
        <v>1.3076290541205211</v>
      </c>
      <c r="N218" s="304">
        <f t="shared" ca="1" si="104"/>
        <v>74.921625969789773</v>
      </c>
      <c r="P218" s="310">
        <f t="shared" ca="1" si="105"/>
        <v>23</v>
      </c>
      <c r="Q218" s="304">
        <f t="shared" ca="1" si="106"/>
        <v>0</v>
      </c>
      <c r="R218" s="306">
        <f t="shared" ca="1" si="107"/>
        <v>0</v>
      </c>
      <c r="S218" s="307">
        <f t="shared" ca="1" si="108"/>
        <v>2.9792999999999985</v>
      </c>
      <c r="T218" s="304">
        <f t="shared" ca="1" si="88"/>
        <v>29.226932999999988</v>
      </c>
      <c r="U218" s="311">
        <f t="shared" ca="1" si="89"/>
        <v>0</v>
      </c>
      <c r="V218" s="306">
        <f t="shared" ca="1" si="90"/>
        <v>1.1048967353650734</v>
      </c>
      <c r="W218" s="304">
        <f t="shared" ca="1" si="91"/>
        <v>32.959289293136493</v>
      </c>
      <c r="Y218" s="314" t="str">
        <f t="shared" ca="1" si="109"/>
        <v/>
      </c>
      <c r="Z218" s="315" t="str">
        <f t="shared" ca="1" si="110"/>
        <v/>
      </c>
      <c r="AA218" s="316" t="str">
        <f t="shared" ca="1" si="111"/>
        <v/>
      </c>
      <c r="AC218" s="310" t="e">
        <f t="shared" ca="1" si="112"/>
        <v>#N/A</v>
      </c>
      <c r="AD218" s="323" t="e">
        <f t="shared" ca="1" si="113"/>
        <v>#N/A</v>
      </c>
      <c r="AE218" s="324">
        <f t="shared" ca="1" si="92"/>
        <v>1030.9750025561332</v>
      </c>
      <c r="AG218" s="306">
        <f t="shared" ca="1" si="114"/>
        <v>-20.941017451879702</v>
      </c>
      <c r="AH218" s="304">
        <f t="shared" ca="1" si="115"/>
        <v>-11.46343405099978</v>
      </c>
    </row>
    <row r="219" spans="1:34" x14ac:dyDescent="0.2">
      <c r="A219" s="347">
        <f t="shared" ca="1" si="93"/>
        <v>0.1</v>
      </c>
      <c r="B219" s="304">
        <f t="shared" ca="1" si="94"/>
        <v>6.6999999999999522</v>
      </c>
      <c r="D219" s="306">
        <f t="shared" ca="1" si="95"/>
        <v>-2.8778679836107566</v>
      </c>
      <c r="E219" s="307">
        <f t="shared" ca="1" si="96"/>
        <v>-20.491881728191963</v>
      </c>
      <c r="F219" s="304">
        <f t="shared" ca="1" si="97"/>
        <v>20.692978057623787</v>
      </c>
      <c r="G219" s="306">
        <f t="shared" ca="1" si="98"/>
        <v>31.109990535209885</v>
      </c>
      <c r="H219" s="307">
        <f t="shared" ca="1" si="99"/>
        <v>114.49102351003677</v>
      </c>
      <c r="I219" s="304">
        <f t="shared" ca="1" si="100"/>
        <v>118.64242906935377</v>
      </c>
      <c r="J219" s="306">
        <f t="shared" ca="1" si="101"/>
        <v>230.53609744323137</v>
      </c>
      <c r="K219" s="307">
        <f t="shared" ca="1" si="102"/>
        <v>1042.5265643157777</v>
      </c>
      <c r="L219" s="304">
        <f t="shared" ca="1" si="87"/>
        <v>1067.711819513306</v>
      </c>
      <c r="M219" s="306">
        <f t="shared" ca="1" si="103"/>
        <v>1.3054780730997382</v>
      </c>
      <c r="N219" s="304">
        <f t="shared" ca="1" si="104"/>
        <v>74.798383835486163</v>
      </c>
      <c r="P219" s="310">
        <f t="shared" ca="1" si="105"/>
        <v>23</v>
      </c>
      <c r="Q219" s="304">
        <f t="shared" ca="1" si="106"/>
        <v>0</v>
      </c>
      <c r="R219" s="306">
        <f t="shared" ca="1" si="107"/>
        <v>0</v>
      </c>
      <c r="S219" s="307">
        <f t="shared" ca="1" si="108"/>
        <v>2.9792999999999985</v>
      </c>
      <c r="T219" s="304">
        <f t="shared" ca="1" si="88"/>
        <v>29.226932999999988</v>
      </c>
      <c r="U219" s="311">
        <f t="shared" ca="1" si="89"/>
        <v>0</v>
      </c>
      <c r="V219" s="306">
        <f t="shared" ca="1" si="90"/>
        <v>1.1036177090109947</v>
      </c>
      <c r="W219" s="304">
        <f t="shared" ca="1" si="91"/>
        <v>31.810580152119869</v>
      </c>
      <c r="Y219" s="314" t="str">
        <f t="shared" ca="1" si="109"/>
        <v/>
      </c>
      <c r="Z219" s="315" t="str">
        <f t="shared" ca="1" si="110"/>
        <v/>
      </c>
      <c r="AA219" s="316" t="str">
        <f t="shared" ca="1" si="111"/>
        <v/>
      </c>
      <c r="AC219" s="310" t="e">
        <f t="shared" ca="1" si="112"/>
        <v>#N/A</v>
      </c>
      <c r="AD219" s="323" t="e">
        <f t="shared" ca="1" si="113"/>
        <v>#N/A</v>
      </c>
      <c r="AE219" s="324">
        <f t="shared" ca="1" si="92"/>
        <v>1042.5265643157777</v>
      </c>
      <c r="AG219" s="306">
        <f t="shared" ca="1" si="114"/>
        <v>-20.535013239820024</v>
      </c>
      <c r="AH219" s="304">
        <f t="shared" ca="1" si="115"/>
        <v>-11.062762827891286</v>
      </c>
    </row>
    <row r="220" spans="1:34" x14ac:dyDescent="0.2">
      <c r="A220" s="347">
        <f t="shared" ca="1" si="93"/>
        <v>0.1</v>
      </c>
      <c r="B220" s="304">
        <f t="shared" ca="1" si="94"/>
        <v>6.7999999999999519</v>
      </c>
      <c r="D220" s="306">
        <f t="shared" ca="1" si="95"/>
        <v>-2.7997367777289996</v>
      </c>
      <c r="E220" s="307">
        <f t="shared" ca="1" si="96"/>
        <v>-20.113594560020747</v>
      </c>
      <c r="F220" s="304">
        <f t="shared" ca="1" si="97"/>
        <v>20.307516149186355</v>
      </c>
      <c r="G220" s="306">
        <f t="shared" ca="1" si="98"/>
        <v>30.830016857436984</v>
      </c>
      <c r="H220" s="307">
        <f t="shared" ca="1" si="99"/>
        <v>112.4796640540347</v>
      </c>
      <c r="I220" s="304">
        <f t="shared" ca="1" si="100"/>
        <v>116.62831888155789</v>
      </c>
      <c r="J220" s="306">
        <f t="shared" ca="1" si="101"/>
        <v>233.63309781286372</v>
      </c>
      <c r="K220" s="307">
        <f t="shared" ca="1" si="102"/>
        <v>1053.8750986939813</v>
      </c>
      <c r="L220" s="304">
        <f t="shared" ca="1" si="87"/>
        <v>1079.4615083646493</v>
      </c>
      <c r="M220" s="306">
        <f t="shared" ca="1" si="103"/>
        <v>1.3032724810224705</v>
      </c>
      <c r="N220" s="304">
        <f t="shared" ca="1" si="104"/>
        <v>74.672012718131242</v>
      </c>
      <c r="P220" s="310">
        <f t="shared" ca="1" si="105"/>
        <v>23</v>
      </c>
      <c r="Q220" s="304">
        <f t="shared" ca="1" si="106"/>
        <v>0</v>
      </c>
      <c r="R220" s="306">
        <f t="shared" ca="1" si="107"/>
        <v>0</v>
      </c>
      <c r="S220" s="307">
        <f t="shared" ca="1" si="108"/>
        <v>2.9792999999999985</v>
      </c>
      <c r="T220" s="304">
        <f t="shared" ca="1" si="88"/>
        <v>29.226932999999988</v>
      </c>
      <c r="U220" s="311">
        <f t="shared" ca="1" si="89"/>
        <v>0</v>
      </c>
      <c r="V220" s="306">
        <f t="shared" ca="1" si="90"/>
        <v>1.1023625292400248</v>
      </c>
      <c r="W220" s="304">
        <f t="shared" ca="1" si="91"/>
        <v>30.704734271558216</v>
      </c>
      <c r="Y220" s="314" t="str">
        <f t="shared" ca="1" si="109"/>
        <v/>
      </c>
      <c r="Z220" s="315" t="str">
        <f t="shared" ca="1" si="110"/>
        <v/>
      </c>
      <c r="AA220" s="316" t="str">
        <f t="shared" ca="1" si="111"/>
        <v/>
      </c>
      <c r="AC220" s="310" t="e">
        <f t="shared" ca="1" si="112"/>
        <v>#N/A</v>
      </c>
      <c r="AD220" s="323" t="e">
        <f t="shared" ca="1" si="113"/>
        <v>#N/A</v>
      </c>
      <c r="AE220" s="324">
        <f t="shared" ca="1" si="92"/>
        <v>1053.8750986939813</v>
      </c>
      <c r="AG220" s="306">
        <f t="shared" ca="1" si="114"/>
        <v>-20.143938648641903</v>
      </c>
      <c r="AH220" s="304">
        <f t="shared" ca="1" si="115"/>
        <v>-10.67719939318628</v>
      </c>
    </row>
    <row r="221" spans="1:34" x14ac:dyDescent="0.2">
      <c r="A221" s="347">
        <f t="shared" ca="1" si="93"/>
        <v>0.1</v>
      </c>
      <c r="B221" s="304">
        <f t="shared" ca="1" si="94"/>
        <v>6.8999999999999515</v>
      </c>
      <c r="D221" s="306">
        <f t="shared" ca="1" si="95"/>
        <v>-2.7243371535190608</v>
      </c>
      <c r="E221" s="307">
        <f t="shared" ca="1" si="96"/>
        <v>-19.749421350781063</v>
      </c>
      <c r="F221" s="304">
        <f t="shared" ca="1" si="97"/>
        <v>19.93644041991276</v>
      </c>
      <c r="G221" s="306">
        <f t="shared" ca="1" si="98"/>
        <v>30.557583142085079</v>
      </c>
      <c r="H221" s="307">
        <f t="shared" ca="1" si="99"/>
        <v>110.50472191895659</v>
      </c>
      <c r="I221" s="304">
        <f t="shared" ca="1" si="100"/>
        <v>114.65190558325391</v>
      </c>
      <c r="J221" s="306">
        <f t="shared" ca="1" si="101"/>
        <v>236.70247781283982</v>
      </c>
      <c r="K221" s="307">
        <f t="shared" ca="1" si="102"/>
        <v>1065.0243179926308</v>
      </c>
      <c r="L221" s="304">
        <f t="shared" ca="1" si="87"/>
        <v>1091.0109352881877</v>
      </c>
      <c r="M221" s="306">
        <f t="shared" ca="1" si="103"/>
        <v>1.3010106620279975</v>
      </c>
      <c r="N221" s="304">
        <f t="shared" ca="1" si="104"/>
        <v>74.542420035725414</v>
      </c>
      <c r="P221" s="310">
        <f t="shared" ca="1" si="105"/>
        <v>23</v>
      </c>
      <c r="Q221" s="304">
        <f t="shared" ca="1" si="106"/>
        <v>0</v>
      </c>
      <c r="R221" s="306">
        <f t="shared" ca="1" si="107"/>
        <v>0</v>
      </c>
      <c r="S221" s="307">
        <f t="shared" ca="1" si="108"/>
        <v>2.9792999999999985</v>
      </c>
      <c r="T221" s="304">
        <f t="shared" ca="1" si="88"/>
        <v>29.226932999999988</v>
      </c>
      <c r="U221" s="311">
        <f t="shared" ca="1" si="89"/>
        <v>0</v>
      </c>
      <c r="V221" s="306">
        <f t="shared" ca="1" si="90"/>
        <v>1.1011307112827207</v>
      </c>
      <c r="W221" s="304">
        <f t="shared" ca="1" si="91"/>
        <v>29.639733859605734</v>
      </c>
      <c r="Y221" s="314" t="str">
        <f t="shared" ca="1" si="109"/>
        <v/>
      </c>
      <c r="Z221" s="315" t="str">
        <f t="shared" ca="1" si="110"/>
        <v/>
      </c>
      <c r="AA221" s="316" t="str">
        <f t="shared" ca="1" si="111"/>
        <v/>
      </c>
      <c r="AC221" s="310" t="e">
        <f t="shared" ca="1" si="112"/>
        <v>#N/A</v>
      </c>
      <c r="AD221" s="323" t="e">
        <f t="shared" ca="1" si="113"/>
        <v>#N/A</v>
      </c>
      <c r="AE221" s="324">
        <f t="shared" ca="1" si="92"/>
        <v>1065.0243179926308</v>
      </c>
      <c r="AG221" s="306">
        <f t="shared" ca="1" si="114"/>
        <v>-19.76706567730794</v>
      </c>
      <c r="AH221" s="304">
        <f t="shared" ca="1" si="115"/>
        <v>-10.306022982431521</v>
      </c>
    </row>
    <row r="222" spans="1:34" x14ac:dyDescent="0.2">
      <c r="A222" s="347">
        <f t="shared" ca="1" si="93"/>
        <v>0.1</v>
      </c>
      <c r="B222" s="304">
        <f t="shared" ca="1" si="94"/>
        <v>6.9999999999999512</v>
      </c>
      <c r="D222" s="306">
        <f t="shared" ca="1" si="95"/>
        <v>-2.6515375867836961</v>
      </c>
      <c r="E222" s="307">
        <f t="shared" ca="1" si="96"/>
        <v>-19.398697585237116</v>
      </c>
      <c r="F222" s="304">
        <f t="shared" ca="1" si="97"/>
        <v>19.579073511727028</v>
      </c>
      <c r="G222" s="306">
        <f t="shared" ca="1" si="98"/>
        <v>30.292429383406709</v>
      </c>
      <c r="H222" s="307">
        <f t="shared" ca="1" si="99"/>
        <v>108.56485216043288</v>
      </c>
      <c r="I222" s="304">
        <f t="shared" ca="1" si="100"/>
        <v>112.71183789897728</v>
      </c>
      <c r="J222" s="306">
        <f t="shared" ca="1" si="101"/>
        <v>239.74497843911442</v>
      </c>
      <c r="K222" s="307">
        <f t="shared" ca="1" si="102"/>
        <v>1075.9777966966003</v>
      </c>
      <c r="L222" s="304">
        <f t="shared" ca="1" si="87"/>
        <v>1102.3637664903731</v>
      </c>
      <c r="M222" s="306">
        <f t="shared" ca="1" si="103"/>
        <v>1.2986909312213519</v>
      </c>
      <c r="N222" s="304">
        <f t="shared" ca="1" si="104"/>
        <v>74.409509250898139</v>
      </c>
      <c r="P222" s="310">
        <f t="shared" ca="1" si="105"/>
        <v>23</v>
      </c>
      <c r="Q222" s="304">
        <f t="shared" ca="1" si="106"/>
        <v>0</v>
      </c>
      <c r="R222" s="306">
        <f t="shared" ca="1" si="107"/>
        <v>0</v>
      </c>
      <c r="S222" s="307">
        <f t="shared" ca="1" si="108"/>
        <v>2.9792999999999985</v>
      </c>
      <c r="T222" s="304">
        <f t="shared" ca="1" si="88"/>
        <v>29.226932999999988</v>
      </c>
      <c r="U222" s="311">
        <f t="shared" ca="1" si="89"/>
        <v>0</v>
      </c>
      <c r="V222" s="306">
        <f t="shared" ca="1" si="90"/>
        <v>1.0999217888092552</v>
      </c>
      <c r="W222" s="304">
        <f t="shared" ca="1" si="91"/>
        <v>28.613681435838103</v>
      </c>
      <c r="Y222" s="314" t="str">
        <f t="shared" ca="1" si="109"/>
        <v/>
      </c>
      <c r="Z222" s="315" t="str">
        <f t="shared" ca="1" si="110"/>
        <v/>
      </c>
      <c r="AA222" s="316" t="str">
        <f t="shared" ca="1" si="111"/>
        <v/>
      </c>
      <c r="AC222" s="310">
        <f t="shared" ca="1" si="112"/>
        <v>6.9999999999999512</v>
      </c>
      <c r="AD222" s="323">
        <f t="shared" ca="1" si="113"/>
        <v>239.74497843911442</v>
      </c>
      <c r="AE222" s="324">
        <f t="shared" ca="1" si="92"/>
        <v>1075.9777966966003</v>
      </c>
      <c r="AG222" s="306">
        <f t="shared" ca="1" si="114"/>
        <v>-19.403709438511111</v>
      </c>
      <c r="AH222" s="304">
        <f t="shared" ca="1" si="115"/>
        <v>-9.9485563251789841</v>
      </c>
    </row>
    <row r="223" spans="1:34" x14ac:dyDescent="0.2">
      <c r="A223" s="347">
        <f t="shared" ca="1" si="93"/>
        <v>0.1</v>
      </c>
      <c r="B223" s="304">
        <f t="shared" ca="1" si="94"/>
        <v>7.0999999999999508</v>
      </c>
      <c r="D223" s="306">
        <f t="shared" ca="1" si="95"/>
        <v>-2.5812143671310683</v>
      </c>
      <c r="E223" s="307">
        <f t="shared" ca="1" si="96"/>
        <v>-19.060798363351836</v>
      </c>
      <c r="F223" s="304">
        <f t="shared" ca="1" si="97"/>
        <v>19.234778445759126</v>
      </c>
      <c r="G223" s="306">
        <f t="shared" ca="1" si="98"/>
        <v>30.034307946693602</v>
      </c>
      <c r="H223" s="307">
        <f t="shared" ca="1" si="99"/>
        <v>106.6587723240977</v>
      </c>
      <c r="I223" s="304">
        <f t="shared" ca="1" si="100"/>
        <v>110.80682906536281</v>
      </c>
      <c r="J223" s="306">
        <f t="shared" ca="1" si="101"/>
        <v>242.76131530561943</v>
      </c>
      <c r="K223" s="307">
        <f t="shared" ca="1" si="102"/>
        <v>1086.7389779208268</v>
      </c>
      <c r="L223" s="304">
        <f t="shared" ca="1" si="87"/>
        <v>1113.5235347047308</v>
      </c>
      <c r="M223" s="306">
        <f t="shared" ca="1" si="103"/>
        <v>1.2963115311906119</v>
      </c>
      <c r="N223" s="304">
        <f t="shared" ca="1" si="104"/>
        <v>74.273179671363437</v>
      </c>
      <c r="P223" s="310">
        <f t="shared" ca="1" si="105"/>
        <v>23</v>
      </c>
      <c r="Q223" s="304">
        <f t="shared" ca="1" si="106"/>
        <v>0</v>
      </c>
      <c r="R223" s="306">
        <f t="shared" ca="1" si="107"/>
        <v>0</v>
      </c>
      <c r="S223" s="307">
        <f t="shared" ca="1" si="108"/>
        <v>2.9792999999999985</v>
      </c>
      <c r="T223" s="304">
        <f t="shared" ca="1" si="88"/>
        <v>29.226932999999988</v>
      </c>
      <c r="U223" s="311">
        <f t="shared" ca="1" si="89"/>
        <v>0</v>
      </c>
      <c r="V223" s="306">
        <f t="shared" ca="1" si="90"/>
        <v>1.0987353130470365</v>
      </c>
      <c r="W223" s="304">
        <f t="shared" ca="1" si="91"/>
        <v>27.624791329467218</v>
      </c>
      <c r="Y223" s="314" t="str">
        <f t="shared" ca="1" si="109"/>
        <v/>
      </c>
      <c r="Z223" s="315" t="str">
        <f t="shared" ca="1" si="110"/>
        <v/>
      </c>
      <c r="AA223" s="316" t="str">
        <f t="shared" ca="1" si="111"/>
        <v/>
      </c>
      <c r="AC223" s="310" t="e">
        <f t="shared" ca="1" si="112"/>
        <v>#N/A</v>
      </c>
      <c r="AD223" s="323" t="e">
        <f t="shared" ca="1" si="113"/>
        <v>#N/A</v>
      </c>
      <c r="AE223" s="324">
        <f t="shared" ca="1" si="92"/>
        <v>1086.7389779208268</v>
      </c>
      <c r="AG223" s="306">
        <f t="shared" ca="1" si="114"/>
        <v>-19.0532250236366</v>
      </c>
      <c r="AH223" s="304">
        <f t="shared" ca="1" si="115"/>
        <v>-9.6041625334266829</v>
      </c>
    </row>
    <row r="224" spans="1:34" x14ac:dyDescent="0.2">
      <c r="A224" s="347">
        <f t="shared" ca="1" si="93"/>
        <v>0.1</v>
      </c>
      <c r="B224" s="304">
        <f t="shared" ca="1" si="94"/>
        <v>7.1999999999999504</v>
      </c>
      <c r="D224" s="306">
        <f t="shared" ca="1" si="95"/>
        <v>-2.5132510458223627</v>
      </c>
      <c r="E224" s="307">
        <f t="shared" ca="1" si="96"/>
        <v>-18.735135600441826</v>
      </c>
      <c r="F224" s="304">
        <f t="shared" ca="1" si="97"/>
        <v>18.902955768510644</v>
      </c>
      <c r="G224" s="306">
        <f t="shared" ca="1" si="98"/>
        <v>29.782982842111366</v>
      </c>
      <c r="H224" s="307">
        <f t="shared" ca="1" si="99"/>
        <v>104.78525876405351</v>
      </c>
      <c r="I224" s="304">
        <f t="shared" ca="1" si="100"/>
        <v>108.93565312248856</v>
      </c>
      <c r="J224" s="306">
        <f t="shared" ca="1" si="101"/>
        <v>245.75217984505969</v>
      </c>
      <c r="K224" s="307">
        <f t="shared" ca="1" si="102"/>
        <v>1097.3111794752342</v>
      </c>
      <c r="L224" s="304">
        <f t="shared" ca="1" si="87"/>
        <v>1124.4936453799676</v>
      </c>
      <c r="M224" s="306">
        <f t="shared" ca="1" si="103"/>
        <v>1.2938706283124863</v>
      </c>
      <c r="N224" s="304">
        <f t="shared" ca="1" si="104"/>
        <v>74.133326238245502</v>
      </c>
      <c r="P224" s="310">
        <f t="shared" ca="1" si="105"/>
        <v>23</v>
      </c>
      <c r="Q224" s="304">
        <f t="shared" ca="1" si="106"/>
        <v>0</v>
      </c>
      <c r="R224" s="306">
        <f t="shared" ca="1" si="107"/>
        <v>0</v>
      </c>
      <c r="S224" s="307">
        <f t="shared" ca="1" si="108"/>
        <v>2.9792999999999985</v>
      </c>
      <c r="T224" s="304">
        <f t="shared" ca="1" si="88"/>
        <v>29.226932999999988</v>
      </c>
      <c r="U224" s="311">
        <f t="shared" ca="1" si="89"/>
        <v>0</v>
      </c>
      <c r="V224" s="306">
        <f t="shared" ca="1" si="90"/>
        <v>1.0975708519515146</v>
      </c>
      <c r="W224" s="304">
        <f t="shared" ca="1" si="91"/>
        <v>26.671381873921636</v>
      </c>
      <c r="Y224" s="314" t="str">
        <f t="shared" ca="1" si="109"/>
        <v/>
      </c>
      <c r="Z224" s="315" t="str">
        <f t="shared" ca="1" si="110"/>
        <v/>
      </c>
      <c r="AA224" s="316" t="str">
        <f t="shared" ca="1" si="111"/>
        <v/>
      </c>
      <c r="AC224" s="310" t="e">
        <f t="shared" ca="1" si="112"/>
        <v>#N/A</v>
      </c>
      <c r="AD224" s="323" t="e">
        <f t="shared" ca="1" si="113"/>
        <v>#N/A</v>
      </c>
      <c r="AE224" s="324">
        <f t="shared" ca="1" si="92"/>
        <v>1097.3111794752342</v>
      </c>
      <c r="AG224" s="306">
        <f t="shared" ca="1" si="114"/>
        <v>-18.715004623974352</v>
      </c>
      <c r="AH224" s="304">
        <f t="shared" ca="1" si="115"/>
        <v>-9.2722422480002784</v>
      </c>
    </row>
    <row r="225" spans="1:34" x14ac:dyDescent="0.2">
      <c r="A225" s="347">
        <f t="shared" ca="1" si="93"/>
        <v>0.1</v>
      </c>
      <c r="B225" s="304">
        <f t="shared" ca="1" si="94"/>
        <v>7.2999999999999501</v>
      </c>
      <c r="D225" s="306">
        <f t="shared" ca="1" si="95"/>
        <v>-2.4475379289079178</v>
      </c>
      <c r="E225" s="307">
        <f t="shared" ca="1" si="96"/>
        <v>-18.421155456626195</v>
      </c>
      <c r="F225" s="304">
        <f t="shared" ca="1" si="97"/>
        <v>18.583040931737514</v>
      </c>
      <c r="G225" s="306">
        <f t="shared" ca="1" si="98"/>
        <v>29.538229049220575</v>
      </c>
      <c r="H225" s="307">
        <f t="shared" ca="1" si="99"/>
        <v>102.94314321839089</v>
      </c>
      <c r="I225" s="304">
        <f t="shared" ca="1" si="100"/>
        <v>107.09714147000543</v>
      </c>
      <c r="J225" s="306">
        <f t="shared" ca="1" si="101"/>
        <v>248.71824043962627</v>
      </c>
      <c r="K225" s="307">
        <f t="shared" ca="1" si="102"/>
        <v>1107.6975995743564</v>
      </c>
      <c r="L225" s="304">
        <f t="shared" ca="1" si="87"/>
        <v>1135.2773825062204</v>
      </c>
      <c r="M225" s="306">
        <f t="shared" ca="1" si="103"/>
        <v>1.2913663088316871</v>
      </c>
      <c r="N225" s="304">
        <f t="shared" ca="1" si="104"/>
        <v>73.989839301443325</v>
      </c>
      <c r="P225" s="310">
        <f t="shared" ca="1" si="105"/>
        <v>23</v>
      </c>
      <c r="Q225" s="304">
        <f t="shared" ca="1" si="106"/>
        <v>0</v>
      </c>
      <c r="R225" s="306">
        <f t="shared" ca="1" si="107"/>
        <v>0</v>
      </c>
      <c r="S225" s="307">
        <f t="shared" ca="1" si="108"/>
        <v>2.9792999999999985</v>
      </c>
      <c r="T225" s="304">
        <f t="shared" ca="1" si="88"/>
        <v>29.226932999999988</v>
      </c>
      <c r="U225" s="311">
        <f t="shared" ca="1" si="89"/>
        <v>0</v>
      </c>
      <c r="V225" s="306">
        <f t="shared" ca="1" si="90"/>
        <v>1.0964279894263838</v>
      </c>
      <c r="W225" s="304">
        <f t="shared" ca="1" si="91"/>
        <v>25.751868233218964</v>
      </c>
      <c r="Y225" s="314" t="str">
        <f t="shared" ca="1" si="109"/>
        <v/>
      </c>
      <c r="Z225" s="315" t="str">
        <f t="shared" ca="1" si="110"/>
        <v/>
      </c>
      <c r="AA225" s="316" t="str">
        <f t="shared" ca="1" si="111"/>
        <v/>
      </c>
      <c r="AC225" s="310" t="e">
        <f t="shared" ca="1" si="112"/>
        <v>#N/A</v>
      </c>
      <c r="AD225" s="323" t="e">
        <f t="shared" ca="1" si="113"/>
        <v>#N/A</v>
      </c>
      <c r="AE225" s="324">
        <f t="shared" ca="1" si="92"/>
        <v>1107.6975995743564</v>
      </c>
      <c r="AG225" s="306">
        <f t="shared" ca="1" si="114"/>
        <v>-18.388474883839322</v>
      </c>
      <c r="AH225" s="304">
        <f t="shared" ca="1" si="115"/>
        <v>-8.9522310186693677</v>
      </c>
    </row>
    <row r="226" spans="1:34" x14ac:dyDescent="0.2">
      <c r="A226" s="347">
        <f t="shared" ca="1" si="93"/>
        <v>0.1</v>
      </c>
      <c r="B226" s="304">
        <f t="shared" ca="1" si="94"/>
        <v>7.3999999999999497</v>
      </c>
      <c r="D226" s="306">
        <f t="shared" ca="1" si="95"/>
        <v>-2.3839716114576737</v>
      </c>
      <c r="E226" s="307">
        <f t="shared" ca="1" si="96"/>
        <v>-18.118335974303815</v>
      </c>
      <c r="F226" s="304">
        <f t="shared" ca="1" si="97"/>
        <v>18.274501884373972</v>
      </c>
      <c r="G226" s="306">
        <f t="shared" ca="1" si="98"/>
        <v>29.299831888074809</v>
      </c>
      <c r="H226" s="307">
        <f t="shared" ca="1" si="99"/>
        <v>101.13130962096051</v>
      </c>
      <c r="I226" s="304">
        <f t="shared" ca="1" si="100"/>
        <v>105.29017966705169</v>
      </c>
      <c r="J226" s="306">
        <f t="shared" ca="1" si="101"/>
        <v>251.66014348649105</v>
      </c>
      <c r="K226" s="307">
        <f t="shared" ca="1" si="102"/>
        <v>1117.9013222163239</v>
      </c>
      <c r="L226" s="304">
        <f t="shared" ca="1" si="87"/>
        <v>1145.8779141045727</v>
      </c>
      <c r="M226" s="306">
        <f t="shared" ca="1" si="103"/>
        <v>1.2887965746984771</v>
      </c>
      <c r="N226" s="304">
        <f t="shared" ca="1" si="104"/>
        <v>73.84260438113968</v>
      </c>
      <c r="P226" s="310">
        <f t="shared" ca="1" si="105"/>
        <v>23</v>
      </c>
      <c r="Q226" s="304">
        <f t="shared" ca="1" si="106"/>
        <v>0</v>
      </c>
      <c r="R226" s="306">
        <f t="shared" ca="1" si="107"/>
        <v>0</v>
      </c>
      <c r="S226" s="307">
        <f t="shared" ca="1" si="108"/>
        <v>2.9792999999999985</v>
      </c>
      <c r="T226" s="304">
        <f t="shared" ca="1" si="88"/>
        <v>29.226932999999988</v>
      </c>
      <c r="U226" s="311">
        <f t="shared" ca="1" si="89"/>
        <v>0</v>
      </c>
      <c r="V226" s="306">
        <f t="shared" ca="1" si="90"/>
        <v>1.0953063245897132</v>
      </c>
      <c r="W226" s="304">
        <f t="shared" ca="1" si="91"/>
        <v>24.864755802231414</v>
      </c>
      <c r="Y226" s="314" t="str">
        <f t="shared" ca="1" si="109"/>
        <v/>
      </c>
      <c r="Z226" s="315" t="str">
        <f t="shared" ca="1" si="110"/>
        <v/>
      </c>
      <c r="AA226" s="316" t="str">
        <f t="shared" ca="1" si="111"/>
        <v/>
      </c>
      <c r="AC226" s="310" t="e">
        <f t="shared" ca="1" si="112"/>
        <v>#N/A</v>
      </c>
      <c r="AD226" s="323" t="e">
        <f t="shared" ca="1" si="113"/>
        <v>#N/A</v>
      </c>
      <c r="AE226" s="324">
        <f t="shared" ca="1" si="92"/>
        <v>1117.9013222163239</v>
      </c>
      <c r="AG226" s="306">
        <f t="shared" ca="1" si="114"/>
        <v>-18.073094463775696</v>
      </c>
      <c r="AH226" s="304">
        <f t="shared" ca="1" si="115"/>
        <v>-8.6435968963242971</v>
      </c>
    </row>
    <row r="227" spans="1:34" x14ac:dyDescent="0.2">
      <c r="A227" s="347">
        <f t="shared" ca="1" si="93"/>
        <v>0.1</v>
      </c>
      <c r="B227" s="304">
        <f t="shared" ca="1" si="94"/>
        <v>7.4999999999999494</v>
      </c>
      <c r="D227" s="306">
        <f t="shared" ca="1" si="95"/>
        <v>-2.3224545491258155</v>
      </c>
      <c r="E227" s="307">
        <f t="shared" ca="1" si="96"/>
        <v>-17.826184904591404</v>
      </c>
      <c r="F227" s="304">
        <f t="shared" ca="1" si="97"/>
        <v>17.976836857062413</v>
      </c>
      <c r="G227" s="306">
        <f t="shared" ca="1" si="98"/>
        <v>29.067586433162226</v>
      </c>
      <c r="H227" s="307">
        <f t="shared" ca="1" si="99"/>
        <v>99.348691130501365</v>
      </c>
      <c r="I227" s="304">
        <f t="shared" ca="1" si="100"/>
        <v>103.51370445691293</v>
      </c>
      <c r="J227" s="306">
        <f t="shared" ca="1" si="101"/>
        <v>254.57851440255291</v>
      </c>
      <c r="K227" s="307">
        <f t="shared" ca="1" si="102"/>
        <v>1127.9253222538971</v>
      </c>
      <c r="L227" s="304">
        <f t="shared" ca="1" si="87"/>
        <v>1156.2982974029533</v>
      </c>
      <c r="M227" s="306">
        <f t="shared" ca="1" si="103"/>
        <v>1.2861593391475825</v>
      </c>
      <c r="N227" s="304">
        <f t="shared" ca="1" si="104"/>
        <v>73.691501914491553</v>
      </c>
      <c r="P227" s="310">
        <f t="shared" ca="1" si="105"/>
        <v>23</v>
      </c>
      <c r="Q227" s="304">
        <f t="shared" ca="1" si="106"/>
        <v>0</v>
      </c>
      <c r="R227" s="306">
        <f t="shared" ca="1" si="107"/>
        <v>0</v>
      </c>
      <c r="S227" s="307">
        <f t="shared" ca="1" si="108"/>
        <v>2.9792999999999985</v>
      </c>
      <c r="T227" s="304">
        <f t="shared" ca="1" si="88"/>
        <v>29.226932999999988</v>
      </c>
      <c r="U227" s="311">
        <f t="shared" ca="1" si="89"/>
        <v>0</v>
      </c>
      <c r="V227" s="306">
        <f t="shared" ca="1" si="90"/>
        <v>1.0942054710827969</v>
      </c>
      <c r="W227" s="304">
        <f t="shared" ca="1" si="91"/>
        <v>24.0086341288611</v>
      </c>
      <c r="Y227" s="314" t="str">
        <f t="shared" ca="1" si="109"/>
        <v/>
      </c>
      <c r="Z227" s="315" t="str">
        <f t="shared" ca="1" si="110"/>
        <v/>
      </c>
      <c r="AA227" s="316" t="str">
        <f t="shared" ca="1" si="111"/>
        <v/>
      </c>
      <c r="AC227" s="310" t="e">
        <f t="shared" ca="1" si="112"/>
        <v>#N/A</v>
      </c>
      <c r="AD227" s="323" t="e">
        <f t="shared" ca="1" si="113"/>
        <v>#N/A</v>
      </c>
      <c r="AE227" s="324">
        <f t="shared" ca="1" si="92"/>
        <v>1127.9253222538971</v>
      </c>
      <c r="AG227" s="306">
        <f t="shared" ca="1" si="114"/>
        <v>-17.768351794248517</v>
      </c>
      <c r="AH227" s="304">
        <f t="shared" ca="1" si="115"/>
        <v>-8.3458382177798232</v>
      </c>
    </row>
    <row r="228" spans="1:34" x14ac:dyDescent="0.2">
      <c r="A228" s="347">
        <f t="shared" ca="1" si="93"/>
        <v>0.1</v>
      </c>
      <c r="B228" s="304">
        <f t="shared" ca="1" si="94"/>
        <v>7.599999999999949</v>
      </c>
      <c r="D228" s="306">
        <f t="shared" ca="1" si="95"/>
        <v>-2.2628946636742193</v>
      </c>
      <c r="E228" s="307">
        <f t="shared" ca="1" si="96"/>
        <v>-17.544237705602736</v>
      </c>
      <c r="F228" s="304">
        <f t="shared" ca="1" si="97"/>
        <v>17.689572321839158</v>
      </c>
      <c r="G228" s="306">
        <f t="shared" ca="1" si="98"/>
        <v>28.841296966794804</v>
      </c>
      <c r="H228" s="307">
        <f t="shared" ca="1" si="99"/>
        <v>97.594267359941085</v>
      </c>
      <c r="I228" s="304">
        <f t="shared" ca="1" si="100"/>
        <v>101.76670099915054</v>
      </c>
      <c r="J228" s="306">
        <f t="shared" ca="1" si="101"/>
        <v>257.47395857255077</v>
      </c>
      <c r="K228" s="307">
        <f t="shared" ca="1" si="102"/>
        <v>1137.7724701784193</v>
      </c>
      <c r="L228" s="304">
        <f t="shared" ca="1" si="87"/>
        <v>1166.5414837196838</v>
      </c>
      <c r="M228" s="306">
        <f t="shared" ca="1" si="103"/>
        <v>1.2834524220003656</v>
      </c>
      <c r="N228" s="304">
        <f t="shared" ca="1" si="104"/>
        <v>73.536406986464428</v>
      </c>
      <c r="P228" s="310">
        <f t="shared" ca="1" si="105"/>
        <v>23</v>
      </c>
      <c r="Q228" s="304">
        <f t="shared" ca="1" si="106"/>
        <v>0</v>
      </c>
      <c r="R228" s="306">
        <f t="shared" ca="1" si="107"/>
        <v>0</v>
      </c>
      <c r="S228" s="307">
        <f t="shared" ca="1" si="108"/>
        <v>2.9792999999999985</v>
      </c>
      <c r="T228" s="304">
        <f t="shared" ca="1" si="88"/>
        <v>29.226932999999988</v>
      </c>
      <c r="U228" s="311">
        <f t="shared" ca="1" si="89"/>
        <v>0</v>
      </c>
      <c r="V228" s="306">
        <f t="shared" ca="1" si="90"/>
        <v>1.0931250564187949</v>
      </c>
      <c r="W228" s="304">
        <f t="shared" ca="1" si="91"/>
        <v>23.182171311392445</v>
      </c>
      <c r="Y228" s="314" t="str">
        <f t="shared" ca="1" si="109"/>
        <v/>
      </c>
      <c r="Z228" s="315" t="str">
        <f t="shared" ca="1" si="110"/>
        <v/>
      </c>
      <c r="AA228" s="316" t="str">
        <f t="shared" ca="1" si="111"/>
        <v/>
      </c>
      <c r="AC228" s="310" t="e">
        <f t="shared" ca="1" si="112"/>
        <v>#N/A</v>
      </c>
      <c r="AD228" s="323" t="e">
        <f t="shared" ca="1" si="113"/>
        <v>#N/A</v>
      </c>
      <c r="AE228" s="324">
        <f t="shared" ca="1" si="92"/>
        <v>1137.7724701784193</v>
      </c>
      <c r="AG228" s="306">
        <f t="shared" ca="1" si="114"/>
        <v>-17.473763002196556</v>
      </c>
      <c r="AH228" s="304">
        <f t="shared" ca="1" si="115"/>
        <v>-8.0584815657574307</v>
      </c>
    </row>
    <row r="229" spans="1:34" x14ac:dyDescent="0.2">
      <c r="A229" s="347">
        <f t="shared" ca="1" si="93"/>
        <v>0.1</v>
      </c>
      <c r="B229" s="304">
        <f t="shared" ca="1" si="94"/>
        <v>7.6999999999999487</v>
      </c>
      <c r="D229" s="306">
        <f t="shared" ca="1" si="95"/>
        <v>-2.2052049794208535</v>
      </c>
      <c r="E229" s="307">
        <f t="shared" ca="1" si="96"/>
        <v>-17.272055697177944</v>
      </c>
      <c r="F229" s="304">
        <f t="shared" ca="1" si="97"/>
        <v>17.412261111288206</v>
      </c>
      <c r="G229" s="306">
        <f t="shared" ca="1" si="98"/>
        <v>28.620776468852718</v>
      </c>
      <c r="H229" s="307">
        <f t="shared" ca="1" si="99"/>
        <v>95.867061790223289</v>
      </c>
      <c r="I229" s="304">
        <f t="shared" ca="1" si="100"/>
        <v>100.04820029351114</v>
      </c>
      <c r="J229" s="306">
        <f t="shared" ca="1" si="101"/>
        <v>260.34706224433313</v>
      </c>
      <c r="K229" s="307">
        <f t="shared" ca="1" si="102"/>
        <v>1147.4455366359275</v>
      </c>
      <c r="L229" s="304">
        <f t="shared" ca="1" si="87"/>
        <v>1176.610323074282</v>
      </c>
      <c r="M229" s="306">
        <f t="shared" ca="1" si="103"/>
        <v>1.2806735446707429</v>
      </c>
      <c r="N229" s="304">
        <f t="shared" ca="1" si="104"/>
        <v>73.377189043692468</v>
      </c>
      <c r="P229" s="310">
        <f t="shared" ca="1" si="105"/>
        <v>23</v>
      </c>
      <c r="Q229" s="304">
        <f t="shared" ca="1" si="106"/>
        <v>0</v>
      </c>
      <c r="R229" s="306">
        <f t="shared" ca="1" si="107"/>
        <v>0</v>
      </c>
      <c r="S229" s="307">
        <f t="shared" ca="1" si="108"/>
        <v>2.9792999999999985</v>
      </c>
      <c r="T229" s="304">
        <f t="shared" ca="1" si="88"/>
        <v>29.226932999999988</v>
      </c>
      <c r="U229" s="311">
        <f t="shared" ca="1" si="89"/>
        <v>0</v>
      </c>
      <c r="V229" s="306">
        <f t="shared" ca="1" si="90"/>
        <v>1.0920647213684596</v>
      </c>
      <c r="W229" s="304">
        <f t="shared" ca="1" si="91"/>
        <v>22.384108828955711</v>
      </c>
      <c r="Y229" s="314" t="str">
        <f t="shared" ca="1" si="109"/>
        <v/>
      </c>
      <c r="Z229" s="315" t="str">
        <f t="shared" ca="1" si="110"/>
        <v/>
      </c>
      <c r="AA229" s="316" t="str">
        <f t="shared" ca="1" si="111"/>
        <v/>
      </c>
      <c r="AC229" s="310" t="e">
        <f t="shared" ca="1" si="112"/>
        <v>#N/A</v>
      </c>
      <c r="AD229" s="323" t="e">
        <f t="shared" ca="1" si="113"/>
        <v>#N/A</v>
      </c>
      <c r="AE229" s="324">
        <f t="shared" ca="1" si="92"/>
        <v>1147.4455366359275</v>
      </c>
      <c r="AG229" s="306">
        <f t="shared" ca="1" si="114"/>
        <v>-17.188869994566403</v>
      </c>
      <c r="AH229" s="304">
        <f t="shared" ca="1" si="115"/>
        <v>-7.7810798883605061</v>
      </c>
    </row>
    <row r="230" spans="1:34" x14ac:dyDescent="0.2">
      <c r="A230" s="347">
        <f t="shared" ca="1" si="93"/>
        <v>0.1</v>
      </c>
      <c r="B230" s="304">
        <f t="shared" ca="1" si="94"/>
        <v>7.7999999999999483</v>
      </c>
      <c r="D230" s="306">
        <f t="shared" ca="1" si="95"/>
        <v>-2.1493032878829723</v>
      </c>
      <c r="E230" s="307">
        <f t="shared" ca="1" si="96"/>
        <v>-17.009224358208563</v>
      </c>
      <c r="F230" s="304">
        <f t="shared" ca="1" si="97"/>
        <v>17.144480683041412</v>
      </c>
      <c r="G230" s="306">
        <f t="shared" ca="1" si="98"/>
        <v>28.405846140064419</v>
      </c>
      <c r="H230" s="307">
        <f t="shared" ca="1" si="99"/>
        <v>94.166139354402432</v>
      </c>
      <c r="I230" s="304">
        <f t="shared" ca="1" si="100"/>
        <v>98.357276781363524</v>
      </c>
      <c r="J230" s="306">
        <f t="shared" ca="1" si="101"/>
        <v>263.19839337477902</v>
      </c>
      <c r="K230" s="307">
        <f t="shared" ca="1" si="102"/>
        <v>1156.9471966931587</v>
      </c>
      <c r="L230" s="304">
        <f t="shared" ca="1" si="87"/>
        <v>1186.5075685435907</v>
      </c>
      <c r="M230" s="306">
        <f t="shared" ca="1" si="103"/>
        <v>1.2778203248538247</v>
      </c>
      <c r="N230" s="304">
        <f t="shared" ca="1" si="104"/>
        <v>73.21371159015996</v>
      </c>
      <c r="P230" s="310">
        <f t="shared" ca="1" si="105"/>
        <v>23</v>
      </c>
      <c r="Q230" s="304">
        <f t="shared" ca="1" si="106"/>
        <v>0</v>
      </c>
      <c r="R230" s="306">
        <f t="shared" ca="1" si="107"/>
        <v>0</v>
      </c>
      <c r="S230" s="307">
        <f t="shared" ca="1" si="108"/>
        <v>2.9792999999999985</v>
      </c>
      <c r="T230" s="304">
        <f t="shared" ca="1" si="88"/>
        <v>29.226932999999988</v>
      </c>
      <c r="U230" s="311">
        <f t="shared" ca="1" si="89"/>
        <v>0</v>
      </c>
      <c r="V230" s="306">
        <f t="shared" ca="1" si="90"/>
        <v>1.0910241193804522</v>
      </c>
      <c r="W230" s="304">
        <f t="shared" ca="1" si="91"/>
        <v>21.613256767189164</v>
      </c>
      <c r="Y230" s="314" t="str">
        <f t="shared" ca="1" si="109"/>
        <v/>
      </c>
      <c r="Z230" s="315" t="str">
        <f t="shared" ca="1" si="110"/>
        <v/>
      </c>
      <c r="AA230" s="316" t="str">
        <f t="shared" ca="1" si="111"/>
        <v/>
      </c>
      <c r="AC230" s="310" t="e">
        <f t="shared" ca="1" si="112"/>
        <v>#N/A</v>
      </c>
      <c r="AD230" s="323" t="e">
        <f t="shared" ca="1" si="113"/>
        <v>#N/A</v>
      </c>
      <c r="AE230" s="324">
        <f t="shared" ca="1" si="92"/>
        <v>1156.9471966931587</v>
      </c>
      <c r="AG230" s="306">
        <f t="shared" ca="1" si="114"/>
        <v>-16.913238684496037</v>
      </c>
      <c r="AH230" s="304">
        <f t="shared" ca="1" si="115"/>
        <v>-7.5132107639229755</v>
      </c>
    </row>
    <row r="231" spans="1:34" x14ac:dyDescent="0.2">
      <c r="A231" s="347">
        <f t="shared" ca="1" si="93"/>
        <v>0.1</v>
      </c>
      <c r="B231" s="304">
        <f t="shared" ca="1" si="94"/>
        <v>7.899999999999948</v>
      </c>
      <c r="D231" s="306">
        <f t="shared" ca="1" si="95"/>
        <v>-2.0951118381551628</v>
      </c>
      <c r="E231" s="307">
        <f t="shared" ca="1" si="96"/>
        <v>-16.755351754071349</v>
      </c>
      <c r="F231" s="304">
        <f t="shared" ca="1" si="97"/>
        <v>16.885831516897227</v>
      </c>
      <c r="G231" s="306">
        <f t="shared" ca="1" si="98"/>
        <v>28.196334956248904</v>
      </c>
      <c r="H231" s="307">
        <f t="shared" ca="1" si="99"/>
        <v>92.490604178995298</v>
      </c>
      <c r="I231" s="304">
        <f t="shared" ca="1" si="100"/>
        <v>96.693046111706323</v>
      </c>
      <c r="J231" s="306">
        <f t="shared" ca="1" si="101"/>
        <v>266.02850242959471</v>
      </c>
      <c r="K231" s="307">
        <f t="shared" ca="1" si="102"/>
        <v>1166.2800338698287</v>
      </c>
      <c r="L231" s="304">
        <f t="shared" ca="1" si="87"/>
        <v>1196.2358803799282</v>
      </c>
      <c r="M231" s="306">
        <f t="shared" ca="1" si="103"/>
        <v>1.274890270874605</v>
      </c>
      <c r="N231" s="304">
        <f t="shared" ca="1" si="104"/>
        <v>73.045831863405169</v>
      </c>
      <c r="P231" s="310">
        <f t="shared" ca="1" si="105"/>
        <v>23</v>
      </c>
      <c r="Q231" s="304">
        <f t="shared" ca="1" si="106"/>
        <v>0</v>
      </c>
      <c r="R231" s="306">
        <f t="shared" ca="1" si="107"/>
        <v>0</v>
      </c>
      <c r="S231" s="307">
        <f t="shared" ca="1" si="108"/>
        <v>2.9792999999999985</v>
      </c>
      <c r="T231" s="304">
        <f t="shared" ca="1" si="88"/>
        <v>29.226932999999988</v>
      </c>
      <c r="U231" s="311">
        <f t="shared" ca="1" si="89"/>
        <v>0</v>
      </c>
      <c r="V231" s="306">
        <f t="shared" ca="1" si="90"/>
        <v>1.0900029160339582</v>
      </c>
      <c r="W231" s="304">
        <f t="shared" ca="1" si="91"/>
        <v>20.868489404889985</v>
      </c>
      <c r="Y231" s="314" t="str">
        <f t="shared" ca="1" si="109"/>
        <v/>
      </c>
      <c r="Z231" s="315" t="str">
        <f t="shared" ca="1" si="110"/>
        <v/>
      </c>
      <c r="AA231" s="316" t="str">
        <f t="shared" ca="1" si="111"/>
        <v/>
      </c>
      <c r="AC231" s="310" t="e">
        <f t="shared" ca="1" si="112"/>
        <v>#N/A</v>
      </c>
      <c r="AD231" s="323" t="e">
        <f t="shared" ca="1" si="113"/>
        <v>#N/A</v>
      </c>
      <c r="AE231" s="324">
        <f t="shared" ca="1" si="92"/>
        <v>1166.2800338698287</v>
      </c>
      <c r="AG231" s="306">
        <f t="shared" ca="1" si="114"/>
        <v>-16.646457347190488</v>
      </c>
      <c r="AH231" s="304">
        <f t="shared" ca="1" si="115"/>
        <v>-7.2544747985060836</v>
      </c>
    </row>
    <row r="232" spans="1:34" x14ac:dyDescent="0.2">
      <c r="A232" s="347">
        <f t="shared" ca="1" si="93"/>
        <v>0.1</v>
      </c>
      <c r="B232" s="304">
        <f t="shared" ca="1" si="94"/>
        <v>7.9999999999999476</v>
      </c>
      <c r="D232" s="306">
        <f t="shared" ca="1" si="95"/>
        <v>-2.0425570508033632</v>
      </c>
      <c r="E232" s="307">
        <f t="shared" ca="1" si="96"/>
        <v>-16.510067082902978</v>
      </c>
      <c r="F232" s="304">
        <f t="shared" ca="1" si="97"/>
        <v>16.635935633072851</v>
      </c>
      <c r="G232" s="306">
        <f t="shared" ca="1" si="98"/>
        <v>27.992079251168569</v>
      </c>
      <c r="H232" s="307">
        <f t="shared" ca="1" si="99"/>
        <v>90.839597470705002</v>
      </c>
      <c r="I232" s="304">
        <f t="shared" ca="1" si="100"/>
        <v>95.054663059964682</v>
      </c>
      <c r="J232" s="306">
        <f t="shared" ca="1" si="101"/>
        <v>268.8379231399656</v>
      </c>
      <c r="K232" s="307">
        <f t="shared" ca="1" si="102"/>
        <v>1175.4465439523137</v>
      </c>
      <c r="L232" s="304">
        <f t="shared" ca="1" si="87"/>
        <v>1205.7978299066758</v>
      </c>
      <c r="M232" s="306">
        <f t="shared" ca="1" si="103"/>
        <v>1.2718807756722554</v>
      </c>
      <c r="N232" s="304">
        <f t="shared" ca="1" si="104"/>
        <v>72.873400489845665</v>
      </c>
      <c r="P232" s="310">
        <f t="shared" ca="1" si="105"/>
        <v>23</v>
      </c>
      <c r="Q232" s="304">
        <f t="shared" ca="1" si="106"/>
        <v>0</v>
      </c>
      <c r="R232" s="306">
        <f t="shared" ca="1" si="107"/>
        <v>0</v>
      </c>
      <c r="S232" s="307">
        <f t="shared" ca="1" si="108"/>
        <v>2.9792999999999985</v>
      </c>
      <c r="T232" s="304">
        <f t="shared" ca="1" si="88"/>
        <v>29.226932999999988</v>
      </c>
      <c r="U232" s="311">
        <f t="shared" ca="1" si="89"/>
        <v>0</v>
      </c>
      <c r="V232" s="306">
        <f t="shared" ca="1" si="90"/>
        <v>1.0890007885214754</v>
      </c>
      <c r="W232" s="304">
        <f t="shared" ca="1" si="91"/>
        <v>20.148741130747705</v>
      </c>
      <c r="Y232" s="314" t="str">
        <f t="shared" ca="1" si="109"/>
        <v/>
      </c>
      <c r="Z232" s="315" t="str">
        <f t="shared" ca="1" si="110"/>
        <v/>
      </c>
      <c r="AA232" s="316" t="str">
        <f t="shared" ca="1" si="111"/>
        <v/>
      </c>
      <c r="AC232" s="310">
        <f t="shared" ca="1" si="112"/>
        <v>7.9999999999999476</v>
      </c>
      <c r="AD232" s="323">
        <f t="shared" ca="1" si="113"/>
        <v>268.8379231399656</v>
      </c>
      <c r="AE232" s="324">
        <f t="shared" ca="1" si="92"/>
        <v>1175.4465439523137</v>
      </c>
      <c r="AG232" s="306">
        <f t="shared" ca="1" si="114"/>
        <v>-16.388135093753071</v>
      </c>
      <c r="AH232" s="304">
        <f t="shared" ca="1" si="115"/>
        <v>-7.0044941445608018</v>
      </c>
    </row>
    <row r="233" spans="1:34" x14ac:dyDescent="0.2">
      <c r="A233" s="347">
        <f t="shared" ca="1" si="93"/>
        <v>0.1</v>
      </c>
      <c r="B233" s="304">
        <f t="shared" ca="1" si="94"/>
        <v>8.0999999999999481</v>
      </c>
      <c r="D233" s="306">
        <f t="shared" ca="1" si="95"/>
        <v>-1.9915692532710885</v>
      </c>
      <c r="E233" s="307">
        <f t="shared" ca="1" si="96"/>
        <v>-16.273019330535288</v>
      </c>
      <c r="F233" s="304">
        <f t="shared" ca="1" si="97"/>
        <v>16.394435221213016</v>
      </c>
      <c r="G233" s="306">
        <f t="shared" ca="1" si="98"/>
        <v>27.792922325841459</v>
      </c>
      <c r="H233" s="307">
        <f t="shared" ca="1" si="99"/>
        <v>89.212295537651471</v>
      </c>
      <c r="I233" s="304">
        <f t="shared" ca="1" si="100"/>
        <v>93.441319588860281</v>
      </c>
      <c r="J233" s="306">
        <f t="shared" ca="1" si="101"/>
        <v>271.6271732188161</v>
      </c>
      <c r="K233" s="307">
        <f t="shared" ca="1" si="102"/>
        <v>1184.4491386027316</v>
      </c>
      <c r="L233" s="304">
        <f t="shared" ca="1" si="87"/>
        <v>1215.1959032055686</v>
      </c>
      <c r="M233" s="306">
        <f t="shared" ca="1" si="103"/>
        <v>1.2687891103936522</v>
      </c>
      <c r="N233" s="304">
        <f t="shared" ca="1" si="104"/>
        <v>72.696261117714556</v>
      </c>
      <c r="P233" s="310">
        <f t="shared" ca="1" si="105"/>
        <v>23</v>
      </c>
      <c r="Q233" s="304">
        <f t="shared" ca="1" si="106"/>
        <v>0</v>
      </c>
      <c r="R233" s="306">
        <f t="shared" ca="1" si="107"/>
        <v>0</v>
      </c>
      <c r="S233" s="307">
        <f t="shared" ca="1" si="108"/>
        <v>2.9792999999999985</v>
      </c>
      <c r="T233" s="304">
        <f t="shared" ca="1" si="88"/>
        <v>29.226932999999988</v>
      </c>
      <c r="U233" s="311">
        <f t="shared" ca="1" si="89"/>
        <v>0</v>
      </c>
      <c r="V233" s="306">
        <f t="shared" ca="1" si="90"/>
        <v>1.0880174251598171</v>
      </c>
      <c r="W233" s="304">
        <f t="shared" ca="1" si="91"/>
        <v>19.453002662206842</v>
      </c>
      <c r="Y233" s="314" t="str">
        <f t="shared" ca="1" si="109"/>
        <v/>
      </c>
      <c r="Z233" s="315" t="str">
        <f t="shared" ca="1" si="110"/>
        <v/>
      </c>
      <c r="AA233" s="316" t="str">
        <f t="shared" ca="1" si="111"/>
        <v/>
      </c>
      <c r="AC233" s="310" t="e">
        <f t="shared" ca="1" si="112"/>
        <v>#N/A</v>
      </c>
      <c r="AD233" s="323" t="e">
        <f t="shared" ca="1" si="113"/>
        <v>#N/A</v>
      </c>
      <c r="AE233" s="324">
        <f t="shared" ca="1" si="92"/>
        <v>1184.4491386027316</v>
      </c>
      <c r="AG233" s="306">
        <f t="shared" ca="1" si="114"/>
        <v>-16.137900452320551</v>
      </c>
      <c r="AH233" s="304">
        <f t="shared" ca="1" si="115"/>
        <v>-6.7629111303822089</v>
      </c>
    </row>
    <row r="234" spans="1:34" x14ac:dyDescent="0.2">
      <c r="A234" s="347">
        <f t="shared" ca="1" si="93"/>
        <v>0.1</v>
      </c>
      <c r="B234" s="304">
        <f t="shared" ca="1" si="94"/>
        <v>8.1999999999999478</v>
      </c>
      <c r="D234" s="306">
        <f t="shared" ca="1" si="95"/>
        <v>-1.9420824349864578</v>
      </c>
      <c r="E234" s="307">
        <f t="shared" ca="1" si="96"/>
        <v>-16.043876024882824</v>
      </c>
      <c r="F234" s="304">
        <f t="shared" ca="1" si="97"/>
        <v>16.160991370769704</v>
      </c>
      <c r="G234" s="306">
        <f t="shared" ca="1" si="98"/>
        <v>27.598714082342813</v>
      </c>
      <c r="H234" s="307">
        <f t="shared" ca="1" si="99"/>
        <v>87.607907935163183</v>
      </c>
      <c r="I234" s="304">
        <f t="shared" ca="1" si="100"/>
        <v>91.852243041609697</v>
      </c>
      <c r="J234" s="306">
        <f t="shared" ca="1" si="101"/>
        <v>274.3967550392253</v>
      </c>
      <c r="K234" s="307">
        <f t="shared" ca="1" si="102"/>
        <v>1193.2901487763725</v>
      </c>
      <c r="L234" s="304">
        <f t="shared" ca="1" si="87"/>
        <v>1224.4325046088877</v>
      </c>
      <c r="M234" s="306">
        <f t="shared" ca="1" si="103"/>
        <v>1.2656124175676884</v>
      </c>
      <c r="N234" s="304">
        <f t="shared" ca="1" si="104"/>
        <v>72.514250025977347</v>
      </c>
      <c r="P234" s="310">
        <f t="shared" ca="1" si="105"/>
        <v>23</v>
      </c>
      <c r="Q234" s="304">
        <f t="shared" ca="1" si="106"/>
        <v>0</v>
      </c>
      <c r="R234" s="306">
        <f t="shared" ca="1" si="107"/>
        <v>0</v>
      </c>
      <c r="S234" s="307">
        <f t="shared" ca="1" si="108"/>
        <v>2.9792999999999985</v>
      </c>
      <c r="T234" s="304">
        <f t="shared" ca="1" si="88"/>
        <v>29.226932999999988</v>
      </c>
      <c r="U234" s="311">
        <f t="shared" ca="1" si="89"/>
        <v>0</v>
      </c>
      <c r="V234" s="306">
        <f t="shared" ca="1" si="90"/>
        <v>1.0870525249275225</v>
      </c>
      <c r="W234" s="304">
        <f t="shared" ca="1" si="91"/>
        <v>18.780317541147483</v>
      </c>
      <c r="Y234" s="314" t="str">
        <f t="shared" ca="1" si="109"/>
        <v/>
      </c>
      <c r="Z234" s="315" t="str">
        <f t="shared" ca="1" si="110"/>
        <v/>
      </c>
      <c r="AA234" s="316" t="str">
        <f t="shared" ca="1" si="111"/>
        <v/>
      </c>
      <c r="AC234" s="310" t="e">
        <f t="shared" ca="1" si="112"/>
        <v>#N/A</v>
      </c>
      <c r="AD234" s="323" t="e">
        <f t="shared" ca="1" si="113"/>
        <v>#N/A</v>
      </c>
      <c r="AE234" s="324">
        <f t="shared" ca="1" si="92"/>
        <v>1193.2901487763725</v>
      </c>
      <c r="AG234" s="306">
        <f t="shared" ca="1" si="114"/>
        <v>-15.895400046815233</v>
      </c>
      <c r="AH234" s="304">
        <f t="shared" ca="1" si="115"/>
        <v>-6.5293869909733333</v>
      </c>
    </row>
    <row r="235" spans="1:34" x14ac:dyDescent="0.2">
      <c r="A235" s="347">
        <f t="shared" ca="1" si="93"/>
        <v>0.1</v>
      </c>
      <c r="B235" s="304">
        <f t="shared" ca="1" si="94"/>
        <v>8.2999999999999474</v>
      </c>
      <c r="D235" s="306">
        <f t="shared" ca="1" si="95"/>
        <v>-1.8940340205308219</v>
      </c>
      <c r="E235" s="307">
        <f t="shared" ca="1" si="96"/>
        <v>-15.822322081444074</v>
      </c>
      <c r="F235" s="304">
        <f t="shared" ca="1" si="97"/>
        <v>15.93528289425327</v>
      </c>
      <c r="G235" s="306">
        <f t="shared" ca="1" si="98"/>
        <v>27.409310680289732</v>
      </c>
      <c r="H235" s="307">
        <f t="shared" ca="1" si="99"/>
        <v>86.025675727018779</v>
      </c>
      <c r="I235" s="304">
        <f t="shared" ca="1" si="100"/>
        <v>90.286694458590262</v>
      </c>
      <c r="J235" s="306">
        <f t="shared" ca="1" si="101"/>
        <v>277.14715627735694</v>
      </c>
      <c r="K235" s="307">
        <f t="shared" ca="1" si="102"/>
        <v>1201.9718279594815</v>
      </c>
      <c r="L235" s="304">
        <f t="shared" ca="1" si="87"/>
        <v>1233.5099600087885</v>
      </c>
      <c r="M235" s="306">
        <f t="shared" ca="1" si="103"/>
        <v>1.2623477038296715</v>
      </c>
      <c r="N235" s="304">
        <f t="shared" ca="1" si="104"/>
        <v>72.327195707470608</v>
      </c>
      <c r="P235" s="310">
        <f t="shared" ca="1" si="105"/>
        <v>23</v>
      </c>
      <c r="Q235" s="304">
        <f t="shared" ca="1" si="106"/>
        <v>0</v>
      </c>
      <c r="R235" s="306">
        <f t="shared" ca="1" si="107"/>
        <v>0</v>
      </c>
      <c r="S235" s="307">
        <f t="shared" ca="1" si="108"/>
        <v>2.9792999999999985</v>
      </c>
      <c r="T235" s="304">
        <f t="shared" ca="1" si="88"/>
        <v>29.226932999999988</v>
      </c>
      <c r="U235" s="311">
        <f t="shared" ca="1" si="89"/>
        <v>0</v>
      </c>
      <c r="V235" s="306">
        <f t="shared" ca="1" si="90"/>
        <v>1.0861057970269861</v>
      </c>
      <c r="W235" s="304">
        <f t="shared" ca="1" si="91"/>
        <v>18.129778883439393</v>
      </c>
      <c r="Y235" s="314" t="str">
        <f t="shared" ca="1" si="109"/>
        <v/>
      </c>
      <c r="Z235" s="315" t="str">
        <f t="shared" ca="1" si="110"/>
        <v/>
      </c>
      <c r="AA235" s="316" t="str">
        <f t="shared" ca="1" si="111"/>
        <v/>
      </c>
      <c r="AC235" s="310" t="e">
        <f t="shared" ca="1" si="112"/>
        <v>#N/A</v>
      </c>
      <c r="AD235" s="323" t="e">
        <f t="shared" ca="1" si="113"/>
        <v>#N/A</v>
      </c>
      <c r="AE235" s="324">
        <f t="shared" ca="1" si="92"/>
        <v>1201.9718279594815</v>
      </c>
      <c r="AG235" s="306">
        <f t="shared" ca="1" si="114"/>
        <v>-15.660297364484524</v>
      </c>
      <c r="AH235" s="304">
        <f t="shared" ca="1" si="115"/>
        <v>-6.3036006918227407</v>
      </c>
    </row>
    <row r="236" spans="1:34" x14ac:dyDescent="0.2">
      <c r="A236" s="347">
        <f t="shared" ca="1" si="93"/>
        <v>0.1</v>
      </c>
      <c r="B236" s="304">
        <f t="shared" ca="1" si="94"/>
        <v>8.3999999999999471</v>
      </c>
      <c r="D236" s="306">
        <f t="shared" ca="1" si="95"/>
        <v>-1.847364659384152</v>
      </c>
      <c r="E236" s="307">
        <f t="shared" ca="1" si="96"/>
        <v>-15.608058732356845</v>
      </c>
      <c r="F236" s="304">
        <f t="shared" ca="1" si="97"/>
        <v>15.71700523564977</v>
      </c>
      <c r="G236" s="306">
        <f t="shared" ca="1" si="98"/>
        <v>27.224574214351318</v>
      </c>
      <c r="H236" s="307">
        <f t="shared" ca="1" si="99"/>
        <v>84.4648698537831</v>
      </c>
      <c r="I236" s="304">
        <f t="shared" ca="1" si="100"/>
        <v>88.743967009421212</v>
      </c>
      <c r="J236" s="306">
        <f t="shared" ca="1" si="101"/>
        <v>279.87885052208901</v>
      </c>
      <c r="K236" s="307">
        <f t="shared" ca="1" si="102"/>
        <v>1210.4963552385216</v>
      </c>
      <c r="L236" s="304">
        <f t="shared" ca="1" si="87"/>
        <v>1242.4305199951066</v>
      </c>
      <c r="M236" s="306">
        <f t="shared" ca="1" si="103"/>
        <v>1.2589918321626739</v>
      </c>
      <c r="N236" s="304">
        <f t="shared" ca="1" si="104"/>
        <v>72.134918424364102</v>
      </c>
      <c r="P236" s="310">
        <f t="shared" ca="1" si="105"/>
        <v>23</v>
      </c>
      <c r="Q236" s="304">
        <f t="shared" ca="1" si="106"/>
        <v>0</v>
      </c>
      <c r="R236" s="306">
        <f t="shared" ca="1" si="107"/>
        <v>0</v>
      </c>
      <c r="S236" s="307">
        <f t="shared" ca="1" si="108"/>
        <v>2.9792999999999985</v>
      </c>
      <c r="T236" s="304">
        <f t="shared" ca="1" si="88"/>
        <v>29.226932999999988</v>
      </c>
      <c r="U236" s="311">
        <f t="shared" ca="1" si="89"/>
        <v>0</v>
      </c>
      <c r="V236" s="306">
        <f t="shared" ca="1" si="90"/>
        <v>1.085176960469767</v>
      </c>
      <c r="W236" s="304">
        <f t="shared" ca="1" si="91"/>
        <v>17.500526361548545</v>
      </c>
      <c r="Y236" s="314" t="str">
        <f t="shared" ca="1" si="109"/>
        <v/>
      </c>
      <c r="Z236" s="315" t="str">
        <f t="shared" ca="1" si="110"/>
        <v/>
      </c>
      <c r="AA236" s="316" t="str">
        <f t="shared" ca="1" si="111"/>
        <v/>
      </c>
      <c r="AC236" s="310" t="e">
        <f t="shared" ca="1" si="112"/>
        <v>#N/A</v>
      </c>
      <c r="AD236" s="323" t="e">
        <f t="shared" ca="1" si="113"/>
        <v>#N/A</v>
      </c>
      <c r="AE236" s="324">
        <f t="shared" ca="1" si="92"/>
        <v>1210.4963552385216</v>
      </c>
      <c r="AG236" s="306">
        <f t="shared" ca="1" si="114"/>
        <v>-15.432271604160768</v>
      </c>
      <c r="AH236" s="304">
        <f t="shared" ca="1" si="115"/>
        <v>-6.0852478378946069</v>
      </c>
    </row>
    <row r="237" spans="1:34" x14ac:dyDescent="0.2">
      <c r="A237" s="347">
        <f t="shared" ca="1" si="93"/>
        <v>0.1</v>
      </c>
      <c r="B237" s="304">
        <f t="shared" ca="1" si="94"/>
        <v>8.4999999999999467</v>
      </c>
      <c r="D237" s="306">
        <f t="shared" ca="1" si="95"/>
        <v>-1.802018030900929</v>
      </c>
      <c r="E237" s="307">
        <f t="shared" ca="1" si="96"/>
        <v>-15.400802532146933</v>
      </c>
      <c r="F237" s="304">
        <f t="shared" ca="1" si="97"/>
        <v>15.505869457011284</v>
      </c>
      <c r="G237" s="306">
        <f t="shared" ca="1" si="98"/>
        <v>27.044372411261225</v>
      </c>
      <c r="H237" s="307">
        <f t="shared" ca="1" si="99"/>
        <v>82.924789600568403</v>
      </c>
      <c r="I237" s="304">
        <f t="shared" ca="1" si="100"/>
        <v>87.223384533148703</v>
      </c>
      <c r="J237" s="306">
        <f t="shared" ca="1" si="101"/>
        <v>282.59229785336964</v>
      </c>
      <c r="K237" s="307">
        <f t="shared" ca="1" si="102"/>
        <v>1218.8658382112392</v>
      </c>
      <c r="L237" s="304">
        <f t="shared" ca="1" si="87"/>
        <v>1251.1963628321632</v>
      </c>
      <c r="M237" s="306">
        <f t="shared" ca="1" si="103"/>
        <v>1.2555415136200783</v>
      </c>
      <c r="N237" s="304">
        <f t="shared" ca="1" si="104"/>
        <v>71.937229733897652</v>
      </c>
      <c r="P237" s="310">
        <f t="shared" ca="1" si="105"/>
        <v>23</v>
      </c>
      <c r="Q237" s="304">
        <f t="shared" ca="1" si="106"/>
        <v>0</v>
      </c>
      <c r="R237" s="306">
        <f t="shared" ca="1" si="107"/>
        <v>0</v>
      </c>
      <c r="S237" s="307">
        <f t="shared" ca="1" si="108"/>
        <v>2.9792999999999985</v>
      </c>
      <c r="T237" s="304">
        <f t="shared" ca="1" si="88"/>
        <v>29.226932999999988</v>
      </c>
      <c r="U237" s="311">
        <f t="shared" ca="1" si="89"/>
        <v>0</v>
      </c>
      <c r="V237" s="306">
        <f t="shared" ca="1" si="90"/>
        <v>1.0842657436836276</v>
      </c>
      <c r="W237" s="304">
        <f t="shared" ca="1" si="91"/>
        <v>16.891743401281648</v>
      </c>
      <c r="Y237" s="314" t="str">
        <f t="shared" ca="1" si="109"/>
        <v/>
      </c>
      <c r="Z237" s="315" t="str">
        <f t="shared" ca="1" si="110"/>
        <v/>
      </c>
      <c r="AA237" s="316" t="str">
        <f t="shared" ca="1" si="111"/>
        <v/>
      </c>
      <c r="AC237" s="310" t="e">
        <f t="shared" ca="1" si="112"/>
        <v>#N/A</v>
      </c>
      <c r="AD237" s="323" t="e">
        <f t="shared" ca="1" si="113"/>
        <v>#N/A</v>
      </c>
      <c r="AE237" s="324">
        <f t="shared" ca="1" si="92"/>
        <v>1218.8658382112392</v>
      </c>
      <c r="AG237" s="306">
        <f t="shared" ca="1" si="114"/>
        <v>-15.211016597851204</v>
      </c>
      <c r="AH237" s="304">
        <f t="shared" ca="1" si="115"/>
        <v>-5.8740396608426657</v>
      </c>
    </row>
    <row r="238" spans="1:34" x14ac:dyDescent="0.2">
      <c r="A238" s="347">
        <f t="shared" ca="1" si="93"/>
        <v>0.1</v>
      </c>
      <c r="B238" s="304">
        <f t="shared" ca="1" si="94"/>
        <v>8.5999999999999464</v>
      </c>
      <c r="D238" s="306">
        <f t="shared" ca="1" si="95"/>
        <v>-1.7579406632948236</v>
      </c>
      <c r="E238" s="307">
        <f t="shared" ca="1" si="96"/>
        <v>-15.200284433936641</v>
      </c>
      <c r="F238" s="304">
        <f t="shared" ca="1" si="97"/>
        <v>15.301601296865698</v>
      </c>
      <c r="G238" s="306">
        <f t="shared" ca="1" si="98"/>
        <v>26.868578344931741</v>
      </c>
      <c r="H238" s="307">
        <f t="shared" ca="1" si="99"/>
        <v>81.404761157174732</v>
      </c>
      <c r="I238" s="304">
        <f t="shared" ca="1" si="100"/>
        <v>85.724300179904645</v>
      </c>
      <c r="J238" s="306">
        <f t="shared" ca="1" si="101"/>
        <v>285.28794539117928</v>
      </c>
      <c r="K238" s="307">
        <f t="shared" ca="1" si="102"/>
        <v>1227.0823157491263</v>
      </c>
      <c r="L238" s="304">
        <f t="shared" ca="1" si="87"/>
        <v>1259.8095972843512</v>
      </c>
      <c r="M238" s="306">
        <f t="shared" ca="1" si="103"/>
        <v>1.2519932984907134</v>
      </c>
      <c r="N238" s="304">
        <f t="shared" ca="1" si="104"/>
        <v>71.733931982180579</v>
      </c>
      <c r="P238" s="310">
        <f t="shared" ca="1" si="105"/>
        <v>23</v>
      </c>
      <c r="Q238" s="304">
        <f t="shared" ca="1" si="106"/>
        <v>0</v>
      </c>
      <c r="R238" s="306">
        <f t="shared" ca="1" si="107"/>
        <v>0</v>
      </c>
      <c r="S238" s="307">
        <f t="shared" ca="1" si="108"/>
        <v>2.9792999999999985</v>
      </c>
      <c r="T238" s="304">
        <f t="shared" ca="1" si="88"/>
        <v>29.226932999999988</v>
      </c>
      <c r="U238" s="311">
        <f t="shared" ca="1" si="89"/>
        <v>0</v>
      </c>
      <c r="V238" s="306">
        <f t="shared" ca="1" si="90"/>
        <v>1.083371884139968</v>
      </c>
      <c r="W238" s="304">
        <f t="shared" ca="1" si="91"/>
        <v>16.302654575468566</v>
      </c>
      <c r="Y238" s="314" t="str">
        <f t="shared" ca="1" si="109"/>
        <v/>
      </c>
      <c r="Z238" s="315" t="str">
        <f t="shared" ca="1" si="110"/>
        <v/>
      </c>
      <c r="AA238" s="316" t="str">
        <f t="shared" ca="1" si="111"/>
        <v/>
      </c>
      <c r="AC238" s="310" t="e">
        <f t="shared" ca="1" si="112"/>
        <v>#N/A</v>
      </c>
      <c r="AD238" s="323" t="e">
        <f t="shared" ca="1" si="113"/>
        <v>#N/A</v>
      </c>
      <c r="AE238" s="324">
        <f t="shared" ca="1" si="92"/>
        <v>1227.0823157491263</v>
      </c>
      <c r="AG238" s="306">
        <f t="shared" ca="1" si="114"/>
        <v>-14.996239798868729</v>
      </c>
      <c r="AH238" s="304">
        <f t="shared" ca="1" si="115"/>
        <v>-5.669702078099438</v>
      </c>
    </row>
    <row r="239" spans="1:34" x14ac:dyDescent="0.2">
      <c r="A239" s="347">
        <f t="shared" ca="1" si="93"/>
        <v>0.1</v>
      </c>
      <c r="B239" s="304">
        <f t="shared" ca="1" si="94"/>
        <v>8.699999999999946</v>
      </c>
      <c r="D239" s="306">
        <f t="shared" ca="1" si="95"/>
        <v>-1.7150817655226085</v>
      </c>
      <c r="E239" s="307">
        <f t="shared" ca="1" si="96"/>
        <v>-15.006248930443668</v>
      </c>
      <c r="F239" s="304">
        <f t="shared" ca="1" si="97"/>
        <v>15.103940294667147</v>
      </c>
      <c r="G239" s="306">
        <f t="shared" ca="1" si="98"/>
        <v>26.697070168379479</v>
      </c>
      <c r="H239" s="307">
        <f t="shared" ca="1" si="99"/>
        <v>79.904136264130372</v>
      </c>
      <c r="I239" s="304">
        <f t="shared" ca="1" si="100"/>
        <v>84.246095148036943</v>
      </c>
      <c r="J239" s="306">
        <f t="shared" ca="1" si="101"/>
        <v>287.96622781684482</v>
      </c>
      <c r="K239" s="307">
        <f t="shared" ca="1" si="102"/>
        <v>1235.1477606201915</v>
      </c>
      <c r="L239" s="304">
        <f t="shared" ca="1" si="87"/>
        <v>1268.2722652995835</v>
      </c>
      <c r="M239" s="306">
        <f t="shared" ca="1" si="103"/>
        <v>1.2483435668649172</v>
      </c>
      <c r="N239" s="304">
        <f t="shared" ca="1" si="104"/>
        <v>71.524817763667031</v>
      </c>
      <c r="P239" s="310">
        <f t="shared" ca="1" si="105"/>
        <v>23</v>
      </c>
      <c r="Q239" s="304">
        <f t="shared" ca="1" si="106"/>
        <v>0</v>
      </c>
      <c r="R239" s="306">
        <f t="shared" ca="1" si="107"/>
        <v>0</v>
      </c>
      <c r="S239" s="307">
        <f t="shared" ca="1" si="108"/>
        <v>2.9792999999999985</v>
      </c>
      <c r="T239" s="304">
        <f t="shared" ca="1" si="88"/>
        <v>29.226932999999988</v>
      </c>
      <c r="U239" s="311">
        <f t="shared" ca="1" si="89"/>
        <v>0</v>
      </c>
      <c r="V239" s="306">
        <f t="shared" ca="1" si="90"/>
        <v>1.0824951280004145</v>
      </c>
      <c r="W239" s="304">
        <f t="shared" ca="1" si="91"/>
        <v>15.73252317892568</v>
      </c>
      <c r="Y239" s="314" t="str">
        <f t="shared" ca="1" si="109"/>
        <v/>
      </c>
      <c r="Z239" s="315" t="str">
        <f t="shared" ca="1" si="110"/>
        <v/>
      </c>
      <c r="AA239" s="316" t="str">
        <f t="shared" ca="1" si="111"/>
        <v/>
      </c>
      <c r="AC239" s="310" t="e">
        <f t="shared" ca="1" si="112"/>
        <v>#N/A</v>
      </c>
      <c r="AD239" s="323" t="e">
        <f t="shared" ca="1" si="113"/>
        <v>#N/A</v>
      </c>
      <c r="AE239" s="324">
        <f t="shared" ca="1" si="92"/>
        <v>1235.1477606201915</v>
      </c>
      <c r="AG239" s="306">
        <f t="shared" ca="1" si="114"/>
        <v>-14.78766133024609</v>
      </c>
      <c r="AH239" s="304">
        <f t="shared" ca="1" si="115"/>
        <v>-5.4719748180675243</v>
      </c>
    </row>
    <row r="240" spans="1:34" x14ac:dyDescent="0.2">
      <c r="A240" s="347">
        <f t="shared" ca="1" si="93"/>
        <v>0.1</v>
      </c>
      <c r="B240" s="304">
        <f t="shared" ca="1" si="94"/>
        <v>8.7999999999999456</v>
      </c>
      <c r="D240" s="306">
        <f t="shared" ca="1" si="95"/>
        <v>-1.6733930710587532</v>
      </c>
      <c r="E240" s="307">
        <f t="shared" ca="1" si="96"/>
        <v>-14.818453254608446</v>
      </c>
      <c r="F240" s="304">
        <f t="shared" ca="1" si="97"/>
        <v>14.912638976025775</v>
      </c>
      <c r="G240" s="306">
        <f t="shared" ca="1" si="98"/>
        <v>26.529730861273602</v>
      </c>
      <c r="H240" s="307">
        <f t="shared" ca="1" si="99"/>
        <v>78.422290938669533</v>
      </c>
      <c r="I240" s="304">
        <f t="shared" ca="1" si="100"/>
        <v>82.788177511290485</v>
      </c>
      <c r="J240" s="306">
        <f t="shared" ca="1" si="101"/>
        <v>290.6275678683275</v>
      </c>
      <c r="K240" s="307">
        <f t="shared" ca="1" si="102"/>
        <v>1243.0640819803316</v>
      </c>
      <c r="L240" s="304">
        <f t="shared" ca="1" si="87"/>
        <v>1276.5863445590603</v>
      </c>
      <c r="M240" s="306">
        <f t="shared" ca="1" si="103"/>
        <v>1.2445885185565495</v>
      </c>
      <c r="N240" s="304">
        <f t="shared" ca="1" si="104"/>
        <v>71.309669343729823</v>
      </c>
      <c r="P240" s="310">
        <f t="shared" ca="1" si="105"/>
        <v>23</v>
      </c>
      <c r="Q240" s="304">
        <f t="shared" ca="1" si="106"/>
        <v>0</v>
      </c>
      <c r="R240" s="306">
        <f t="shared" ca="1" si="107"/>
        <v>0</v>
      </c>
      <c r="S240" s="307">
        <f t="shared" ca="1" si="108"/>
        <v>2.9792999999999985</v>
      </c>
      <c r="T240" s="304">
        <f t="shared" ca="1" si="88"/>
        <v>29.226932999999988</v>
      </c>
      <c r="U240" s="311">
        <f t="shared" ca="1" si="89"/>
        <v>0</v>
      </c>
      <c r="V240" s="306">
        <f t="shared" ca="1" si="90"/>
        <v>1.081635229781414</v>
      </c>
      <c r="W240" s="304">
        <f t="shared" ca="1" si="91"/>
        <v>15.18064897043412</v>
      </c>
      <c r="Y240" s="314" t="str">
        <f t="shared" ca="1" si="109"/>
        <v/>
      </c>
      <c r="Z240" s="315" t="str">
        <f t="shared" ca="1" si="110"/>
        <v/>
      </c>
      <c r="AA240" s="316" t="str">
        <f t="shared" ca="1" si="111"/>
        <v/>
      </c>
      <c r="AC240" s="310" t="e">
        <f t="shared" ca="1" si="112"/>
        <v>#N/A</v>
      </c>
      <c r="AD240" s="323" t="e">
        <f t="shared" ca="1" si="113"/>
        <v>#N/A</v>
      </c>
      <c r="AE240" s="324">
        <f t="shared" ca="1" si="92"/>
        <v>1243.0640819803316</v>
      </c>
      <c r="AG240" s="306">
        <f t="shared" ca="1" si="114"/>
        <v>-14.585013087646312</v>
      </c>
      <c r="AH240" s="304">
        <f t="shared" ca="1" si="115"/>
        <v>-5.2806106061577172</v>
      </c>
    </row>
    <row r="241" spans="1:34" x14ac:dyDescent="0.2">
      <c r="A241" s="347">
        <f t="shared" ca="1" si="93"/>
        <v>0.1</v>
      </c>
      <c r="B241" s="304">
        <f t="shared" ca="1" si="94"/>
        <v>8.8999999999999453</v>
      </c>
      <c r="D241" s="306">
        <f t="shared" ca="1" si="95"/>
        <v>-1.6328286926434621</v>
      </c>
      <c r="E241" s="307">
        <f t="shared" ca="1" si="96"/>
        <v>-14.636666635145268</v>
      </c>
      <c r="F241" s="304">
        <f t="shared" ca="1" si="97"/>
        <v>14.727462093921492</v>
      </c>
      <c r="G241" s="306">
        <f t="shared" ca="1" si="98"/>
        <v>26.366447992009256</v>
      </c>
      <c r="H241" s="307">
        <f t="shared" ca="1" si="99"/>
        <v>76.958624275155003</v>
      </c>
      <c r="I241" s="304">
        <f t="shared" ca="1" si="100"/>
        <v>81.349981131158273</v>
      </c>
      <c r="J241" s="306">
        <f t="shared" ca="1" si="101"/>
        <v>293.27237681099166</v>
      </c>
      <c r="K241" s="307">
        <f t="shared" ca="1" si="102"/>
        <v>1250.8331277410227</v>
      </c>
      <c r="L241" s="304">
        <f t="shared" ca="1" si="87"/>
        <v>1284.7537509012216</v>
      </c>
      <c r="M241" s="306">
        <f t="shared" ca="1" si="103"/>
        <v>1.2407241623324201</v>
      </c>
      <c r="N241" s="304">
        <f t="shared" ca="1" si="104"/>
        <v>71.088258041552109</v>
      </c>
      <c r="P241" s="310">
        <f t="shared" ca="1" si="105"/>
        <v>23</v>
      </c>
      <c r="Q241" s="304">
        <f t="shared" ca="1" si="106"/>
        <v>0</v>
      </c>
      <c r="R241" s="306">
        <f t="shared" ca="1" si="107"/>
        <v>0</v>
      </c>
      <c r="S241" s="307">
        <f t="shared" ca="1" si="108"/>
        <v>2.9792999999999985</v>
      </c>
      <c r="T241" s="304">
        <f t="shared" ca="1" si="88"/>
        <v>29.226932999999988</v>
      </c>
      <c r="U241" s="311">
        <f t="shared" ca="1" si="89"/>
        <v>0</v>
      </c>
      <c r="V241" s="306">
        <f t="shared" ca="1" si="90"/>
        <v>1.0807919520357523</v>
      </c>
      <c r="W241" s="304">
        <f t="shared" ca="1" si="91"/>
        <v>14.646366068720734</v>
      </c>
      <c r="Y241" s="314" t="str">
        <f t="shared" ca="1" si="109"/>
        <v/>
      </c>
      <c r="Z241" s="315" t="str">
        <f t="shared" ca="1" si="110"/>
        <v/>
      </c>
      <c r="AA241" s="316" t="str">
        <f t="shared" ca="1" si="111"/>
        <v/>
      </c>
      <c r="AC241" s="310" t="e">
        <f t="shared" ca="1" si="112"/>
        <v>#N/A</v>
      </c>
      <c r="AD241" s="323" t="e">
        <f t="shared" ca="1" si="113"/>
        <v>#N/A</v>
      </c>
      <c r="AE241" s="324">
        <f t="shared" ca="1" si="92"/>
        <v>1250.8331277410227</v>
      </c>
      <c r="AG241" s="306">
        <f t="shared" ca="1" si="114"/>
        <v>-14.388037891396124</v>
      </c>
      <c r="AH241" s="304">
        <f t="shared" ca="1" si="115"/>
        <v>-5.0953744068855533</v>
      </c>
    </row>
    <row r="242" spans="1:34" x14ac:dyDescent="0.2">
      <c r="A242" s="347">
        <f t="shared" ca="1" si="93"/>
        <v>0.1</v>
      </c>
      <c r="B242" s="304">
        <f t="shared" ca="1" si="94"/>
        <v>8.9999999999999449</v>
      </c>
      <c r="D242" s="306">
        <f t="shared" ca="1" si="95"/>
        <v>-1.5933449871692673</v>
      </c>
      <c r="E242" s="307">
        <f t="shared" ca="1" si="96"/>
        <v>-14.460669602724783</v>
      </c>
      <c r="F242" s="304">
        <f t="shared" ca="1" si="97"/>
        <v>14.548185921526642</v>
      </c>
      <c r="G242" s="306">
        <f t="shared" ca="1" si="98"/>
        <v>26.207113493292329</v>
      </c>
      <c r="H242" s="307">
        <f t="shared" ca="1" si="99"/>
        <v>75.512557314882528</v>
      </c>
      <c r="I242" s="304">
        <f t="shared" ca="1" si="100"/>
        <v>79.930964650026112</v>
      </c>
      <c r="J242" s="306">
        <f t="shared" ca="1" si="101"/>
        <v>295.90105488525671</v>
      </c>
      <c r="K242" s="307">
        <f t="shared" ca="1" si="102"/>
        <v>1258.4566868205245</v>
      </c>
      <c r="L242" s="304">
        <f t="shared" ca="1" si="87"/>
        <v>1292.7763406272175</v>
      </c>
      <c r="M242" s="306">
        <f t="shared" ca="1" si="103"/>
        <v>1.2367463043967546</v>
      </c>
      <c r="N242" s="304">
        <f t="shared" ca="1" si="104"/>
        <v>70.860343570335843</v>
      </c>
      <c r="P242" s="310">
        <f t="shared" ca="1" si="105"/>
        <v>23</v>
      </c>
      <c r="Q242" s="304">
        <f t="shared" ca="1" si="106"/>
        <v>0</v>
      </c>
      <c r="R242" s="306">
        <f t="shared" ca="1" si="107"/>
        <v>0</v>
      </c>
      <c r="S242" s="307">
        <f t="shared" ca="1" si="108"/>
        <v>2.9792999999999985</v>
      </c>
      <c r="T242" s="304">
        <f t="shared" ca="1" si="88"/>
        <v>29.226932999999988</v>
      </c>
      <c r="U242" s="311">
        <f t="shared" ca="1" si="89"/>
        <v>0</v>
      </c>
      <c r="V242" s="306">
        <f t="shared" ca="1" si="90"/>
        <v>1.0799650650500057</v>
      </c>
      <c r="W242" s="304">
        <f t="shared" ca="1" si="91"/>
        <v>14.129040990563182</v>
      </c>
      <c r="Y242" s="314" t="str">
        <f t="shared" ca="1" si="109"/>
        <v/>
      </c>
      <c r="Z242" s="315" t="str">
        <f t="shared" ca="1" si="110"/>
        <v/>
      </c>
      <c r="AA242" s="316" t="str">
        <f t="shared" ca="1" si="111"/>
        <v/>
      </c>
      <c r="AC242" s="310">
        <f t="shared" ca="1" si="112"/>
        <v>8.9999999999999449</v>
      </c>
      <c r="AD242" s="323">
        <f t="shared" ca="1" si="113"/>
        <v>295.90105488525671</v>
      </c>
      <c r="AE242" s="324">
        <f t="shared" ca="1" si="92"/>
        <v>1258.4566868205245</v>
      </c>
      <c r="AG242" s="306">
        <f t="shared" ca="1" si="114"/>
        <v>-14.196488682631554</v>
      </c>
      <c r="AH242" s="304">
        <f t="shared" ca="1" si="115"/>
        <v>-4.9160427176587591</v>
      </c>
    </row>
    <row r="243" spans="1:34" x14ac:dyDescent="0.2">
      <c r="A243" s="347">
        <f t="shared" ca="1" si="93"/>
        <v>0.1</v>
      </c>
      <c r="B243" s="304">
        <f t="shared" ca="1" si="94"/>
        <v>9.0999999999999446</v>
      </c>
      <c r="D243" s="306">
        <f t="shared" ca="1" si="95"/>
        <v>-1.5549004299460556</v>
      </c>
      <c r="E243" s="307">
        <f t="shared" ca="1" si="96"/>
        <v>-14.290253342867732</v>
      </c>
      <c r="F243" s="304">
        <f t="shared" ca="1" si="97"/>
        <v>14.374597592641987</v>
      </c>
      <c r="G243" s="306">
        <f t="shared" ca="1" si="98"/>
        <v>26.051623450297726</v>
      </c>
      <c r="H243" s="307">
        <f t="shared" ca="1" si="99"/>
        <v>74.083531980595751</v>
      </c>
      <c r="I243" s="304">
        <f t="shared" ca="1" si="100"/>
        <v>78.530610561207638</v>
      </c>
      <c r="J243" s="306">
        <f t="shared" ca="1" si="101"/>
        <v>298.51399173243624</v>
      </c>
      <c r="K243" s="307">
        <f t="shared" ca="1" si="102"/>
        <v>1265.9364912852984</v>
      </c>
      <c r="L243" s="304">
        <f t="shared" ca="1" si="87"/>
        <v>1300.6559126947318</v>
      </c>
      <c r="M243" s="306">
        <f t="shared" ca="1" si="103"/>
        <v>1.2326505360742013</v>
      </c>
      <c r="N243" s="304">
        <f t="shared" ca="1" si="104"/>
        <v>70.625673331590164</v>
      </c>
      <c r="P243" s="310">
        <f t="shared" ca="1" si="105"/>
        <v>23</v>
      </c>
      <c r="Q243" s="304">
        <f t="shared" ca="1" si="106"/>
        <v>0</v>
      </c>
      <c r="R243" s="306">
        <f t="shared" ca="1" si="107"/>
        <v>0</v>
      </c>
      <c r="S243" s="307">
        <f t="shared" ca="1" si="108"/>
        <v>2.9792999999999985</v>
      </c>
      <c r="T243" s="304">
        <f t="shared" ca="1" si="88"/>
        <v>29.226932999999988</v>
      </c>
      <c r="U243" s="311">
        <f t="shared" ca="1" si="89"/>
        <v>0</v>
      </c>
      <c r="V243" s="306">
        <f t="shared" ca="1" si="90"/>
        <v>1.0791543465569935</v>
      </c>
      <c r="W243" s="304">
        <f t="shared" ca="1" si="91"/>
        <v>13.628070820164208</v>
      </c>
      <c r="Y243" s="314" t="str">
        <f t="shared" ca="1" si="109"/>
        <v/>
      </c>
      <c r="Z243" s="315" t="str">
        <f t="shared" ca="1" si="110"/>
        <v/>
      </c>
      <c r="AA243" s="316" t="str">
        <f t="shared" ca="1" si="111"/>
        <v/>
      </c>
      <c r="AC243" s="310" t="e">
        <f t="shared" ca="1" si="112"/>
        <v>#N/A</v>
      </c>
      <c r="AD243" s="323" t="e">
        <f t="shared" ca="1" si="113"/>
        <v>#N/A</v>
      </c>
      <c r="AE243" s="324">
        <f t="shared" ca="1" si="92"/>
        <v>1265.9364912852984</v>
      </c>
      <c r="AG243" s="306">
        <f t="shared" ca="1" si="114"/>
        <v>-14.010127758860857</v>
      </c>
      <c r="AH243" s="304">
        <f t="shared" ca="1" si="115"/>
        <v>-4.7424029102685825</v>
      </c>
    </row>
    <row r="244" spans="1:34" x14ac:dyDescent="0.2">
      <c r="A244" s="347">
        <f t="shared" ca="1" si="93"/>
        <v>0.1</v>
      </c>
      <c r="B244" s="304">
        <f t="shared" ca="1" si="94"/>
        <v>9.1999999999999442</v>
      </c>
      <c r="D244" s="306">
        <f t="shared" ca="1" si="95"/>
        <v>-1.5174554976520109</v>
      </c>
      <c r="E244" s="307">
        <f t="shared" ca="1" si="96"/>
        <v>-14.125219091965988</v>
      </c>
      <c r="F244" s="304">
        <f t="shared" ca="1" si="97"/>
        <v>14.206494486093138</v>
      </c>
      <c r="G244" s="306">
        <f t="shared" ca="1" si="98"/>
        <v>25.899877900532523</v>
      </c>
      <c r="H244" s="307">
        <f t="shared" ca="1" si="99"/>
        <v>72.671010071399152</v>
      </c>
      <c r="I244" s="304">
        <f t="shared" ca="1" si="100"/>
        <v>77.148424352412349</v>
      </c>
      <c r="J244" s="306">
        <f t="shared" ca="1" si="101"/>
        <v>301.11156679997777</v>
      </c>
      <c r="K244" s="307">
        <f t="shared" ca="1" si="102"/>
        <v>1273.2742183878981</v>
      </c>
      <c r="L244" s="304">
        <f t="shared" ca="1" si="87"/>
        <v>1308.394210806533</v>
      </c>
      <c r="M244" s="306">
        <f t="shared" ca="1" si="103"/>
        <v>1.2284322206304583</v>
      </c>
      <c r="N244" s="304">
        <f t="shared" ca="1" si="104"/>
        <v>70.383981660008843</v>
      </c>
      <c r="P244" s="310">
        <f t="shared" ca="1" si="105"/>
        <v>23</v>
      </c>
      <c r="Q244" s="304">
        <f t="shared" ca="1" si="106"/>
        <v>0</v>
      </c>
      <c r="R244" s="306">
        <f t="shared" ca="1" si="107"/>
        <v>0</v>
      </c>
      <c r="S244" s="307">
        <f t="shared" ca="1" si="108"/>
        <v>2.9792999999999985</v>
      </c>
      <c r="T244" s="304">
        <f t="shared" ca="1" si="88"/>
        <v>29.226932999999988</v>
      </c>
      <c r="U244" s="311">
        <f t="shared" ca="1" si="89"/>
        <v>0</v>
      </c>
      <c r="V244" s="306">
        <f t="shared" ca="1" si="90"/>
        <v>1.0783595814623619</v>
      </c>
      <c r="W244" s="304">
        <f t="shared" ca="1" si="91"/>
        <v>13.142881499867396</v>
      </c>
      <c r="Y244" s="314" t="str">
        <f t="shared" ca="1" si="109"/>
        <v/>
      </c>
      <c r="Z244" s="315" t="str">
        <f t="shared" ca="1" si="110"/>
        <v/>
      </c>
      <c r="AA244" s="316" t="str">
        <f t="shared" ca="1" si="111"/>
        <v/>
      </c>
      <c r="AC244" s="310" t="e">
        <f t="shared" ca="1" si="112"/>
        <v>#N/A</v>
      </c>
      <c r="AD244" s="323" t="e">
        <f t="shared" ca="1" si="113"/>
        <v>#N/A</v>
      </c>
      <c r="AE244" s="324">
        <f t="shared" ca="1" si="92"/>
        <v>1273.2742183878981</v>
      </c>
      <c r="AG244" s="306">
        <f t="shared" ca="1" si="114"/>
        <v>-13.828726044522151</v>
      </c>
      <c r="AH244" s="304">
        <f t="shared" ca="1" si="115"/>
        <v>-4.5742526164415178</v>
      </c>
    </row>
    <row r="245" spans="1:34" x14ac:dyDescent="0.2">
      <c r="A245" s="347">
        <f t="shared" ca="1" si="93"/>
        <v>0.1</v>
      </c>
      <c r="B245" s="304">
        <f t="shared" ca="1" si="94"/>
        <v>9.2999999999999439</v>
      </c>
      <c r="D245" s="306">
        <f t="shared" ca="1" si="95"/>
        <v>-1.4809725593394791</v>
      </c>
      <c r="E245" s="307">
        <f t="shared" ca="1" si="96"/>
        <v>-13.96537757315112</v>
      </c>
      <c r="F245" s="304">
        <f t="shared" ca="1" si="97"/>
        <v>14.043683650744514</v>
      </c>
      <c r="G245" s="306">
        <f t="shared" ca="1" si="98"/>
        <v>25.751780644598576</v>
      </c>
      <c r="H245" s="307">
        <f t="shared" ca="1" si="99"/>
        <v>71.274472314084036</v>
      </c>
      <c r="I245" s="304">
        <f t="shared" ca="1" si="100"/>
        <v>75.783933719612719</v>
      </c>
      <c r="J245" s="306">
        <f t="shared" ca="1" si="101"/>
        <v>303.69414972723433</v>
      </c>
      <c r="K245" s="307">
        <f t="shared" ca="1" si="102"/>
        <v>1280.4714925071723</v>
      </c>
      <c r="L245" s="304">
        <f t="shared" ca="1" si="87"/>
        <v>1315.9929253997125</v>
      </c>
      <c r="M245" s="306">
        <f t="shared" ca="1" si="103"/>
        <v>1.2240864791648594</v>
      </c>
      <c r="N245" s="304">
        <f t="shared" ca="1" si="104"/>
        <v>70.134989015175023</v>
      </c>
      <c r="P245" s="310">
        <f t="shared" ca="1" si="105"/>
        <v>23</v>
      </c>
      <c r="Q245" s="304">
        <f t="shared" ca="1" si="106"/>
        <v>0</v>
      </c>
      <c r="R245" s="306">
        <f t="shared" ca="1" si="107"/>
        <v>0</v>
      </c>
      <c r="S245" s="307">
        <f t="shared" ca="1" si="108"/>
        <v>2.9792999999999985</v>
      </c>
      <c r="T245" s="304">
        <f t="shared" ca="1" si="88"/>
        <v>29.226932999999988</v>
      </c>
      <c r="U245" s="311">
        <f t="shared" ca="1" si="89"/>
        <v>0</v>
      </c>
      <c r="V245" s="306">
        <f t="shared" ca="1" si="90"/>
        <v>1.0775805615844951</v>
      </c>
      <c r="W245" s="304">
        <f t="shared" ca="1" si="91"/>
        <v>12.672926233126047</v>
      </c>
      <c r="Y245" s="314" t="str">
        <f t="shared" ca="1" si="109"/>
        <v/>
      </c>
      <c r="Z245" s="315" t="str">
        <f t="shared" ca="1" si="110"/>
        <v/>
      </c>
      <c r="AA245" s="316" t="str">
        <f t="shared" ca="1" si="111"/>
        <v/>
      </c>
      <c r="AC245" s="310" t="e">
        <f t="shared" ca="1" si="112"/>
        <v>#N/A</v>
      </c>
      <c r="AD245" s="323" t="e">
        <f t="shared" ca="1" si="113"/>
        <v>#N/A</v>
      </c>
      <c r="AE245" s="324">
        <f t="shared" ca="1" si="92"/>
        <v>1280.4714925071723</v>
      </c>
      <c r="AG245" s="306">
        <f t="shared" ca="1" si="114"/>
        <v>-13.652062392345607</v>
      </c>
      <c r="AH245" s="304">
        <f t="shared" ca="1" si="115"/>
        <v>-4.4113991541192235</v>
      </c>
    </row>
    <row r="246" spans="1:34" x14ac:dyDescent="0.2">
      <c r="A246" s="347">
        <f t="shared" ca="1" si="93"/>
        <v>0.1</v>
      </c>
      <c r="B246" s="304">
        <f t="shared" ca="1" si="94"/>
        <v>9.3999999999999435</v>
      </c>
      <c r="D246" s="306">
        <f t="shared" ca="1" si="95"/>
        <v>-1.445415774920692</v>
      </c>
      <c r="E246" s="307">
        <f t="shared" ca="1" si="96"/>
        <v>-13.810548469005923</v>
      </c>
      <c r="F246" s="304">
        <f t="shared" ca="1" si="97"/>
        <v>13.885981268068578</v>
      </c>
      <c r="G246" s="306">
        <f t="shared" ca="1" si="98"/>
        <v>25.607239067106505</v>
      </c>
      <c r="H246" s="307">
        <f t="shared" ca="1" si="99"/>
        <v>69.89341746718344</v>
      </c>
      <c r="I246" s="304">
        <f t="shared" ca="1" si="100"/>
        <v>74.436687848680705</v>
      </c>
      <c r="J246" s="306">
        <f t="shared" ca="1" si="101"/>
        <v>306.26210071281957</v>
      </c>
      <c r="K246" s="307">
        <f t="shared" ca="1" si="102"/>
        <v>1287.5298869962357</v>
      </c>
      <c r="L246" s="304">
        <f t="shared" ca="1" si="87"/>
        <v>1323.4536955411659</v>
      </c>
      <c r="M246" s="306">
        <f t="shared" ca="1" si="103"/>
        <v>1.2196081755042016</v>
      </c>
      <c r="N246" s="304">
        <f t="shared" ca="1" si="104"/>
        <v>69.878401116041346</v>
      </c>
      <c r="P246" s="310">
        <f t="shared" ca="1" si="105"/>
        <v>23</v>
      </c>
      <c r="Q246" s="304">
        <f t="shared" ca="1" si="106"/>
        <v>0</v>
      </c>
      <c r="R246" s="306">
        <f t="shared" ca="1" si="107"/>
        <v>0</v>
      </c>
      <c r="S246" s="307">
        <f t="shared" ca="1" si="108"/>
        <v>2.9792999999999985</v>
      </c>
      <c r="T246" s="304">
        <f t="shared" ca="1" si="88"/>
        <v>29.226932999999988</v>
      </c>
      <c r="U246" s="311">
        <f t="shared" ca="1" si="89"/>
        <v>0</v>
      </c>
      <c r="V246" s="306">
        <f t="shared" ca="1" si="90"/>
        <v>1.0768170854069963</v>
      </c>
      <c r="W246" s="304">
        <f t="shared" ca="1" si="91"/>
        <v>12.217683991398232</v>
      </c>
      <c r="Y246" s="314" t="str">
        <f t="shared" ca="1" si="109"/>
        <v/>
      </c>
      <c r="Z246" s="315" t="str">
        <f t="shared" ca="1" si="110"/>
        <v/>
      </c>
      <c r="AA246" s="316" t="str">
        <f t="shared" ca="1" si="111"/>
        <v/>
      </c>
      <c r="AC246" s="310" t="e">
        <f t="shared" ca="1" si="112"/>
        <v>#N/A</v>
      </c>
      <c r="AD246" s="323" t="e">
        <f t="shared" ca="1" si="113"/>
        <v>#N/A</v>
      </c>
      <c r="AE246" s="324">
        <f t="shared" ca="1" si="92"/>
        <v>1287.5298869962357</v>
      </c>
      <c r="AG246" s="306">
        <f t="shared" ca="1" si="114"/>
        <v>-13.479922911524724</v>
      </c>
      <c r="AH246" s="304">
        <f t="shared" ca="1" si="115"/>
        <v>-4.2536589914161222</v>
      </c>
    </row>
    <row r="247" spans="1:34" x14ac:dyDescent="0.2">
      <c r="A247" s="347">
        <f t="shared" ca="1" si="93"/>
        <v>0.1</v>
      </c>
      <c r="B247" s="304">
        <f t="shared" ca="1" si="94"/>
        <v>9.4999999999999432</v>
      </c>
      <c r="D247" s="306">
        <f t="shared" ca="1" si="95"/>
        <v>-1.4107510006092372</v>
      </c>
      <c r="E247" s="307">
        <f t="shared" ca="1" si="96"/>
        <v>-13.660559928363638</v>
      </c>
      <c r="F247" s="304">
        <f t="shared" ca="1" si="97"/>
        <v>13.733212149462133</v>
      </c>
      <c r="G247" s="306">
        <f t="shared" ca="1" si="98"/>
        <v>25.466163967045581</v>
      </c>
      <c r="H247" s="307">
        <f t="shared" ca="1" si="99"/>
        <v>68.527361474347074</v>
      </c>
      <c r="I247" s="304">
        <f t="shared" ca="1" si="100"/>
        <v>73.106256762552675</v>
      </c>
      <c r="J247" s="306">
        <f t="shared" ca="1" si="101"/>
        <v>308.81577086452717</v>
      </c>
      <c r="K247" s="307">
        <f t="shared" ca="1" si="102"/>
        <v>1294.4509259433123</v>
      </c>
      <c r="L247" s="304">
        <f t="shared" ca="1" si="87"/>
        <v>1330.7781107345245</v>
      </c>
      <c r="M247" s="306">
        <f t="shared" ca="1" si="103"/>
        <v>1.2149919000217033</v>
      </c>
      <c r="N247" s="304">
        <f t="shared" ca="1" si="104"/>
        <v>69.613908013824471</v>
      </c>
      <c r="P247" s="310">
        <f t="shared" ca="1" si="105"/>
        <v>23</v>
      </c>
      <c r="Q247" s="304">
        <f t="shared" ca="1" si="106"/>
        <v>0</v>
      </c>
      <c r="R247" s="306">
        <f t="shared" ca="1" si="107"/>
        <v>0</v>
      </c>
      <c r="S247" s="307">
        <f t="shared" ca="1" si="108"/>
        <v>2.9792999999999985</v>
      </c>
      <c r="T247" s="304">
        <f t="shared" ca="1" si="88"/>
        <v>29.226932999999988</v>
      </c>
      <c r="U247" s="311">
        <f t="shared" ca="1" si="89"/>
        <v>0</v>
      </c>
      <c r="V247" s="306">
        <f t="shared" ca="1" si="90"/>
        <v>1.0760689578430338</v>
      </c>
      <c r="W247" s="304">
        <f t="shared" ca="1" si="91"/>
        <v>11.776658117332021</v>
      </c>
      <c r="Y247" s="314" t="str">
        <f t="shared" ca="1" si="109"/>
        <v/>
      </c>
      <c r="Z247" s="315" t="str">
        <f t="shared" ca="1" si="110"/>
        <v/>
      </c>
      <c r="AA247" s="316" t="str">
        <f t="shared" ca="1" si="111"/>
        <v/>
      </c>
      <c r="AC247" s="310" t="e">
        <f t="shared" ca="1" si="112"/>
        <v>#N/A</v>
      </c>
      <c r="AD247" s="323" t="e">
        <f t="shared" ca="1" si="113"/>
        <v>#N/A</v>
      </c>
      <c r="AE247" s="324">
        <f t="shared" ca="1" si="92"/>
        <v>1294.4509259433123</v>
      </c>
      <c r="AG247" s="306">
        <f t="shared" ca="1" si="114"/>
        <v>-13.312100318860713</v>
      </c>
      <c r="AH247" s="304">
        <f t="shared" ca="1" si="115"/>
        <v>-4.1008572454597516</v>
      </c>
    </row>
    <row r="248" spans="1:34" x14ac:dyDescent="0.2">
      <c r="A248" s="347">
        <f t="shared" ca="1" si="93"/>
        <v>0.1</v>
      </c>
      <c r="B248" s="304">
        <f t="shared" ca="1" si="94"/>
        <v>9.5999999999999428</v>
      </c>
      <c r="D248" s="306">
        <f t="shared" ca="1" si="95"/>
        <v>-1.3769457008397754</v>
      </c>
      <c r="E248" s="307">
        <f t="shared" ca="1" si="96"/>
        <v>-13.51524810466546</v>
      </c>
      <c r="F248" s="304">
        <f t="shared" ca="1" si="97"/>
        <v>13.585209265731775</v>
      </c>
      <c r="G248" s="306">
        <f t="shared" ca="1" si="98"/>
        <v>25.328469396961605</v>
      </c>
      <c r="H248" s="307">
        <f t="shared" ca="1" si="99"/>
        <v>67.175836663880531</v>
      </c>
      <c r="I248" s="304">
        <f t="shared" ca="1" si="100"/>
        <v>71.792230732058869</v>
      </c>
      <c r="J248" s="306">
        <f t="shared" ca="1" si="101"/>
        <v>311.35550253272754</v>
      </c>
      <c r="K248" s="307">
        <f t="shared" ca="1" si="102"/>
        <v>1301.2360858502236</v>
      </c>
      <c r="L248" s="304">
        <f t="shared" ca="1" si="87"/>
        <v>1337.9677126434021</v>
      </c>
      <c r="M248" s="306">
        <f t="shared" ca="1" si="103"/>
        <v>1.2102319522992619</v>
      </c>
      <c r="N248" s="304">
        <f t="shared" ca="1" si="104"/>
        <v>69.341183098625677</v>
      </c>
      <c r="P248" s="310">
        <f t="shared" ca="1" si="105"/>
        <v>23</v>
      </c>
      <c r="Q248" s="304">
        <f t="shared" ca="1" si="106"/>
        <v>0</v>
      </c>
      <c r="R248" s="306">
        <f t="shared" ca="1" si="107"/>
        <v>0</v>
      </c>
      <c r="S248" s="307">
        <f t="shared" ca="1" si="108"/>
        <v>2.9792999999999985</v>
      </c>
      <c r="T248" s="304">
        <f t="shared" ca="1" si="88"/>
        <v>29.226932999999988</v>
      </c>
      <c r="U248" s="311">
        <f t="shared" ca="1" si="89"/>
        <v>0</v>
      </c>
      <c r="V248" s="306">
        <f t="shared" ca="1" si="90"/>
        <v>1.0753359900108914</v>
      </c>
      <c r="W248" s="304">
        <f t="shared" ca="1" si="91"/>
        <v>11.34937501723261</v>
      </c>
      <c r="Y248" s="314" t="str">
        <f t="shared" ca="1" si="109"/>
        <v/>
      </c>
      <c r="Z248" s="315" t="str">
        <f t="shared" ca="1" si="110"/>
        <v/>
      </c>
      <c r="AA248" s="316" t="str">
        <f t="shared" ca="1" si="111"/>
        <v/>
      </c>
      <c r="AC248" s="310" t="e">
        <f t="shared" ca="1" si="112"/>
        <v>#N/A</v>
      </c>
      <c r="AD248" s="323" t="e">
        <f t="shared" ca="1" si="113"/>
        <v>#N/A</v>
      </c>
      <c r="AE248" s="324">
        <f t="shared" ca="1" si="92"/>
        <v>1301.2360858502236</v>
      </c>
      <c r="AG248" s="306">
        <f t="shared" ca="1" si="114"/>
        <v>-13.148393309169819</v>
      </c>
      <c r="AH248" s="304">
        <f t="shared" ca="1" si="115"/>
        <v>-3.9528272135508429</v>
      </c>
    </row>
    <row r="249" spans="1:34" x14ac:dyDescent="0.2">
      <c r="A249" s="347">
        <f t="shared" ca="1" si="93"/>
        <v>0.1</v>
      </c>
      <c r="B249" s="304">
        <f t="shared" ca="1" si="94"/>
        <v>9.6999999999999424</v>
      </c>
      <c r="D249" s="306">
        <f t="shared" ca="1" si="95"/>
        <v>-1.3439688662310956</v>
      </c>
      <c r="E249" s="307">
        <f t="shared" ca="1" si="96"/>
        <v>-13.374456723551997</v>
      </c>
      <c r="F249" s="304">
        <f t="shared" ca="1" si="97"/>
        <v>13.441813306379601</v>
      </c>
      <c r="G249" s="306">
        <f t="shared" ca="1" si="98"/>
        <v>25.194072510338497</v>
      </c>
      <c r="H249" s="307">
        <f t="shared" ca="1" si="99"/>
        <v>65.83839099152533</v>
      </c>
      <c r="I249" s="304">
        <f t="shared" ca="1" si="100"/>
        <v>70.494219748920955</v>
      </c>
      <c r="J249" s="306">
        <f t="shared" ca="1" si="101"/>
        <v>313.88162962809253</v>
      </c>
      <c r="K249" s="307">
        <f t="shared" ca="1" si="102"/>
        <v>1307.886797232994</v>
      </c>
      <c r="L249" s="304">
        <f t="shared" ca="1" si="87"/>
        <v>1345.0239967355103</v>
      </c>
      <c r="M249" s="306">
        <f t="shared" ca="1" si="103"/>
        <v>1.2053223225451415</v>
      </c>
      <c r="N249" s="304">
        <f t="shared" ca="1" si="104"/>
        <v>69.059882034742728</v>
      </c>
      <c r="P249" s="310">
        <f t="shared" ca="1" si="105"/>
        <v>23</v>
      </c>
      <c r="Q249" s="304">
        <f t="shared" ca="1" si="106"/>
        <v>0</v>
      </c>
      <c r="R249" s="306">
        <f t="shared" ca="1" si="107"/>
        <v>0</v>
      </c>
      <c r="S249" s="307">
        <f t="shared" ca="1" si="108"/>
        <v>2.9792999999999985</v>
      </c>
      <c r="T249" s="304">
        <f t="shared" ca="1" si="88"/>
        <v>29.226932999999988</v>
      </c>
      <c r="U249" s="311">
        <f t="shared" ca="1" si="89"/>
        <v>0</v>
      </c>
      <c r="V249" s="306">
        <f t="shared" ca="1" si="90"/>
        <v>1.0746179990201121</v>
      </c>
      <c r="W249" s="304">
        <f t="shared" ca="1" si="91"/>
        <v>10.935382936373896</v>
      </c>
      <c r="Y249" s="314" t="str">
        <f t="shared" ca="1" si="109"/>
        <v/>
      </c>
      <c r="Z249" s="315" t="str">
        <f t="shared" ca="1" si="110"/>
        <v/>
      </c>
      <c r="AA249" s="316" t="str">
        <f t="shared" ca="1" si="111"/>
        <v/>
      </c>
      <c r="AC249" s="310" t="e">
        <f t="shared" ca="1" si="112"/>
        <v>#N/A</v>
      </c>
      <c r="AD249" s="323" t="e">
        <f t="shared" ca="1" si="113"/>
        <v>#N/A</v>
      </c>
      <c r="AE249" s="324">
        <f t="shared" ca="1" si="92"/>
        <v>1307.886797232994</v>
      </c>
      <c r="AG249" s="306">
        <f t="shared" ca="1" si="114"/>
        <v>-12.988605941337205</v>
      </c>
      <c r="AH249" s="304">
        <f t="shared" ca="1" si="115"/>
        <v>-3.8094099342908119</v>
      </c>
    </row>
    <row r="250" spans="1:34" x14ac:dyDescent="0.2">
      <c r="A250" s="347">
        <f t="shared" ca="1" si="93"/>
        <v>0.1</v>
      </c>
      <c r="B250" s="304">
        <f t="shared" ca="1" si="94"/>
        <v>9.7999999999999421</v>
      </c>
      <c r="D250" s="306">
        <f t="shared" ca="1" si="95"/>
        <v>-1.3117909371967131</v>
      </c>
      <c r="E250" s="307">
        <f t="shared" ca="1" si="96"/>
        <v>-13.238036677550081</v>
      </c>
      <c r="F250" s="304">
        <f t="shared" ca="1" si="97"/>
        <v>13.30287226650969</v>
      </c>
      <c r="G250" s="306">
        <f t="shared" ca="1" si="98"/>
        <v>25.062893416618827</v>
      </c>
      <c r="H250" s="307">
        <f t="shared" ca="1" si="99"/>
        <v>64.514587323770328</v>
      </c>
      <c r="I250" s="304">
        <f t="shared" ca="1" si="100"/>
        <v>69.21185305978436</v>
      </c>
      <c r="J250" s="306">
        <f t="shared" ca="1" si="101"/>
        <v>316.39447792444037</v>
      </c>
      <c r="K250" s="307">
        <f t="shared" ca="1" si="102"/>
        <v>1314.4044461487588</v>
      </c>
      <c r="L250" s="304">
        <f t="shared" ca="1" si="87"/>
        <v>1351.9484138519133</v>
      </c>
      <c r="M250" s="306">
        <f t="shared" ca="1" si="103"/>
        <v>1.200256671672856</v>
      </c>
      <c r="N250" s="304">
        <f t="shared" ca="1" si="104"/>
        <v>68.769641619273997</v>
      </c>
      <c r="P250" s="310">
        <f t="shared" ca="1" si="105"/>
        <v>23</v>
      </c>
      <c r="Q250" s="304">
        <f t="shared" ca="1" si="106"/>
        <v>0</v>
      </c>
      <c r="R250" s="306">
        <f t="shared" ca="1" si="107"/>
        <v>0</v>
      </c>
      <c r="S250" s="307">
        <f t="shared" ca="1" si="108"/>
        <v>2.9792999999999985</v>
      </c>
      <c r="T250" s="304">
        <f t="shared" ca="1" si="88"/>
        <v>29.226932999999988</v>
      </c>
      <c r="U250" s="311">
        <f t="shared" ca="1" si="89"/>
        <v>0</v>
      </c>
      <c r="V250" s="306">
        <f t="shared" ca="1" si="90"/>
        <v>1.0739148077676492</v>
      </c>
      <c r="W250" s="304">
        <f t="shared" ca="1" si="91"/>
        <v>10.53425081123655</v>
      </c>
      <c r="Y250" s="314" t="str">
        <f t="shared" ca="1" si="109"/>
        <v/>
      </c>
      <c r="Z250" s="315" t="str">
        <f t="shared" ca="1" si="110"/>
        <v/>
      </c>
      <c r="AA250" s="316" t="str">
        <f t="shared" ca="1" si="111"/>
        <v/>
      </c>
      <c r="AC250" s="310" t="e">
        <f t="shared" ca="1" si="112"/>
        <v>#N/A</v>
      </c>
      <c r="AD250" s="323" t="e">
        <f t="shared" ca="1" si="113"/>
        <v>#N/A</v>
      </c>
      <c r="AE250" s="324">
        <f t="shared" ca="1" si="92"/>
        <v>1314.4044461487588</v>
      </c>
      <c r="AG250" s="306">
        <f t="shared" ca="1" si="114"/>
        <v>-12.832547036463666</v>
      </c>
      <c r="AH250" s="304">
        <f t="shared" ca="1" si="115"/>
        <v>-3.6704537765159273</v>
      </c>
    </row>
    <row r="251" spans="1:34" x14ac:dyDescent="0.2">
      <c r="A251" s="347">
        <f t="shared" ca="1" si="93"/>
        <v>0.1</v>
      </c>
      <c r="B251" s="304">
        <f t="shared" ca="1" si="94"/>
        <v>9.8999999999999417</v>
      </c>
      <c r="D251" s="306">
        <f t="shared" ca="1" si="95"/>
        <v>-1.2803837328432239</v>
      </c>
      <c r="E251" s="307">
        <f t="shared" ca="1" si="96"/>
        <v>-13.105845645885248</v>
      </c>
      <c r="F251" s="304">
        <f t="shared" ca="1" si="97"/>
        <v>13.168241059348013</v>
      </c>
      <c r="G251" s="306">
        <f t="shared" ca="1" si="98"/>
        <v>24.934855043334505</v>
      </c>
      <c r="H251" s="307">
        <f t="shared" ca="1" si="99"/>
        <v>63.204002759181805</v>
      </c>
      <c r="I251" s="304">
        <f t="shared" ca="1" si="100"/>
        <v>67.944778760510843</v>
      </c>
      <c r="J251" s="306">
        <f t="shared" ca="1" si="101"/>
        <v>318.89436534743805</v>
      </c>
      <c r="K251" s="307">
        <f t="shared" ca="1" si="102"/>
        <v>1320.7903756529063</v>
      </c>
      <c r="L251" s="304">
        <f t="shared" ca="1" si="87"/>
        <v>1358.7423717054276</v>
      </c>
      <c r="M251" s="306">
        <f t="shared" ca="1" si="103"/>
        <v>1.1950283099403809</v>
      </c>
      <c r="N251" s="304">
        <f t="shared" ca="1" si="104"/>
        <v>68.470078558235471</v>
      </c>
      <c r="P251" s="310">
        <f t="shared" ca="1" si="105"/>
        <v>23</v>
      </c>
      <c r="Q251" s="304">
        <f t="shared" ca="1" si="106"/>
        <v>0</v>
      </c>
      <c r="R251" s="306">
        <f t="shared" ca="1" si="107"/>
        <v>0</v>
      </c>
      <c r="S251" s="307">
        <f t="shared" ca="1" si="108"/>
        <v>2.9792999999999985</v>
      </c>
      <c r="T251" s="304">
        <f t="shared" ca="1" si="88"/>
        <v>29.226932999999988</v>
      </c>
      <c r="U251" s="311">
        <f t="shared" ca="1" si="89"/>
        <v>0</v>
      </c>
      <c r="V251" s="306">
        <f t="shared" ca="1" si="90"/>
        <v>1.0732262447434939</v>
      </c>
      <c r="W251" s="304">
        <f t="shared" ca="1" si="91"/>
        <v>10.145567193227754</v>
      </c>
      <c r="Y251" s="314" t="str">
        <f t="shared" ca="1" si="109"/>
        <v/>
      </c>
      <c r="Z251" s="315" t="str">
        <f t="shared" ca="1" si="110"/>
        <v/>
      </c>
      <c r="AA251" s="316" t="str">
        <f t="shared" ca="1" si="111"/>
        <v/>
      </c>
      <c r="AC251" s="310" t="e">
        <f t="shared" ca="1" si="112"/>
        <v>#N/A</v>
      </c>
      <c r="AD251" s="323" t="e">
        <f t="shared" ca="1" si="113"/>
        <v>#N/A</v>
      </c>
      <c r="AE251" s="324">
        <f t="shared" ca="1" si="92"/>
        <v>1320.7903756529063</v>
      </c>
      <c r="AG251" s="306">
        <f t="shared" ca="1" si="114"/>
        <v>-12.680029584583925</v>
      </c>
      <c r="AH251" s="304">
        <f t="shared" ca="1" si="115"/>
        <v>-3.535814054051809</v>
      </c>
    </row>
    <row r="252" spans="1:34" x14ac:dyDescent="0.2">
      <c r="A252" s="347">
        <f t="shared" ca="1" si="93"/>
        <v>0.1</v>
      </c>
      <c r="B252" s="304">
        <f t="shared" ca="1" si="94"/>
        <v>9.9999999999999414</v>
      </c>
      <c r="D252" s="306">
        <f t="shared" ca="1" si="95"/>
        <v>-1.2497203848297882</v>
      </c>
      <c r="E252" s="307">
        <f t="shared" ca="1" si="96"/>
        <v>-12.977747737603243</v>
      </c>
      <c r="F252" s="304">
        <f t="shared" ca="1" si="97"/>
        <v>13.037781152524582</v>
      </c>
      <c r="G252" s="306">
        <f t="shared" ca="1" si="98"/>
        <v>24.809883004851525</v>
      </c>
      <c r="H252" s="307">
        <f t="shared" ca="1" si="99"/>
        <v>61.906227985421481</v>
      </c>
      <c r="I252" s="304">
        <f t="shared" ca="1" si="100"/>
        <v>66.69266345031815</v>
      </c>
      <c r="J252" s="306">
        <f t="shared" ca="1" si="101"/>
        <v>321.38160224984733</v>
      </c>
      <c r="K252" s="307">
        <f t="shared" ca="1" si="102"/>
        <v>1327.0458871901365</v>
      </c>
      <c r="L252" s="304">
        <f t="shared" ca="1" si="87"/>
        <v>1365.4072363119128</v>
      </c>
      <c r="M252" s="306">
        <f t="shared" ca="1" si="103"/>
        <v>1.1896301740419455</v>
      </c>
      <c r="N252" s="304">
        <f t="shared" ca="1" si="104"/>
        <v>68.160788154017055</v>
      </c>
      <c r="P252" s="310">
        <f t="shared" ca="1" si="105"/>
        <v>23</v>
      </c>
      <c r="Q252" s="304">
        <f t="shared" ca="1" si="106"/>
        <v>0</v>
      </c>
      <c r="R252" s="306">
        <f t="shared" ca="1" si="107"/>
        <v>0</v>
      </c>
      <c r="S252" s="307">
        <f t="shared" ca="1" si="108"/>
        <v>2.9792999999999985</v>
      </c>
      <c r="T252" s="304">
        <f t="shared" ca="1" si="88"/>
        <v>29.226932999999988</v>
      </c>
      <c r="U252" s="311">
        <f t="shared" ca="1" si="89"/>
        <v>0</v>
      </c>
      <c r="V252" s="306">
        <f t="shared" ca="1" si="90"/>
        <v>1.0725521438452632</v>
      </c>
      <c r="W252" s="304">
        <f t="shared" ca="1" si="91"/>
        <v>9.7689392388693754</v>
      </c>
      <c r="Y252" s="314" t="str">
        <f t="shared" ca="1" si="109"/>
        <v/>
      </c>
      <c r="Z252" s="315" t="str">
        <f t="shared" ca="1" si="110"/>
        <v/>
      </c>
      <c r="AA252" s="316" t="str">
        <f t="shared" ca="1" si="111"/>
        <v/>
      </c>
      <c r="AC252" s="310">
        <f t="shared" ca="1" si="112"/>
        <v>9.9999999999999414</v>
      </c>
      <c r="AD252" s="323">
        <f t="shared" ca="1" si="113"/>
        <v>321.38160224984733</v>
      </c>
      <c r="AE252" s="324">
        <f t="shared" ca="1" si="92"/>
        <v>1327.0458871901365</v>
      </c>
      <c r="AG252" s="306">
        <f t="shared" ca="1" si="114"/>
        <v>-12.530870156438059</v>
      </c>
      <c r="AH252" s="304">
        <f t="shared" ca="1" si="115"/>
        <v>-3.4053526644606982</v>
      </c>
    </row>
    <row r="253" spans="1:34" x14ac:dyDescent="0.2">
      <c r="A253" s="347">
        <f t="shared" ca="1" si="93"/>
        <v>0.1</v>
      </c>
      <c r="B253" s="304">
        <f t="shared" ca="1" si="94"/>
        <v>10.099999999999941</v>
      </c>
      <c r="D253" s="306">
        <f t="shared" ca="1" si="95"/>
        <v>-1.2197752758928755</v>
      </c>
      <c r="E253" s="307">
        <f t="shared" ca="1" si="96"/>
        <v>-12.853613156323171</v>
      </c>
      <c r="F253" s="304">
        <f t="shared" ca="1" si="97"/>
        <v>12.911360226408512</v>
      </c>
      <c r="G253" s="306">
        <f t="shared" ca="1" si="98"/>
        <v>24.687905477262237</v>
      </c>
      <c r="H253" s="307">
        <f t="shared" ca="1" si="99"/>
        <v>60.620866669789166</v>
      </c>
      <c r="I253" s="304">
        <f t="shared" ca="1" si="100"/>
        <v>65.455191945716493</v>
      </c>
      <c r="J253" s="306">
        <f t="shared" ca="1" si="101"/>
        <v>323.85649167395303</v>
      </c>
      <c r="K253" s="307">
        <f t="shared" ca="1" si="102"/>
        <v>1333.172241922897</v>
      </c>
      <c r="L253" s="304">
        <f t="shared" ca="1" si="87"/>
        <v>1371.9443333579845</v>
      </c>
      <c r="M253" s="306">
        <f t="shared" ca="1" si="103"/>
        <v>1.184054802537591</v>
      </c>
      <c r="N253" s="304">
        <f t="shared" ca="1" si="104"/>
        <v>67.841342897600043</v>
      </c>
      <c r="P253" s="310">
        <f t="shared" ca="1" si="105"/>
        <v>23</v>
      </c>
      <c r="Q253" s="304">
        <f t="shared" ca="1" si="106"/>
        <v>0</v>
      </c>
      <c r="R253" s="306">
        <f t="shared" ca="1" si="107"/>
        <v>0</v>
      </c>
      <c r="S253" s="307">
        <f t="shared" ca="1" si="108"/>
        <v>2.9792999999999985</v>
      </c>
      <c r="T253" s="304">
        <f t="shared" ca="1" si="88"/>
        <v>29.226932999999988</v>
      </c>
      <c r="U253" s="311">
        <f t="shared" ca="1" si="89"/>
        <v>0</v>
      </c>
      <c r="V253" s="306">
        <f t="shared" ca="1" si="90"/>
        <v>1.071892344201282</v>
      </c>
      <c r="W253" s="304">
        <f t="shared" ca="1" si="91"/>
        <v>9.4039917618349325</v>
      </c>
      <c r="Y253" s="314" t="str">
        <f t="shared" ca="1" si="109"/>
        <v/>
      </c>
      <c r="Z253" s="315" t="str">
        <f t="shared" ca="1" si="110"/>
        <v/>
      </c>
      <c r="AA253" s="316" t="str">
        <f t="shared" ca="1" si="111"/>
        <v/>
      </c>
      <c r="AC253" s="310" t="e">
        <f t="shared" ca="1" si="112"/>
        <v>#N/A</v>
      </c>
      <c r="AD253" s="323" t="e">
        <f t="shared" ca="1" si="113"/>
        <v>#N/A</v>
      </c>
      <c r="AE253" s="324">
        <f t="shared" ca="1" si="92"/>
        <v>1333.172241922897</v>
      </c>
      <c r="AG253" s="306">
        <f t="shared" ca="1" si="114"/>
        <v>-12.384888316751246</v>
      </c>
      <c r="AH253" s="304">
        <f t="shared" ca="1" si="115"/>
        <v>-3.2789377500988084</v>
      </c>
    </row>
    <row r="254" spans="1:34" x14ac:dyDescent="0.2">
      <c r="A254" s="347">
        <f t="shared" ca="1" si="93"/>
        <v>0.1</v>
      </c>
      <c r="B254" s="304">
        <f t="shared" ca="1" si="94"/>
        <v>10.199999999999941</v>
      </c>
      <c r="D254" s="306">
        <f t="shared" ca="1" si="95"/>
        <v>-1.1905239827689515</v>
      </c>
      <c r="E254" s="307">
        <f t="shared" ca="1" si="96"/>
        <v>-12.733317885070999</v>
      </c>
      <c r="F254" s="304">
        <f t="shared" ca="1" si="97"/>
        <v>12.788851852915375</v>
      </c>
      <c r="G254" s="306">
        <f t="shared" ca="1" si="98"/>
        <v>24.568853078985342</v>
      </c>
      <c r="H254" s="307">
        <f t="shared" ca="1" si="99"/>
        <v>59.347534881282066</v>
      </c>
      <c r="I254" s="304">
        <f t="shared" ca="1" si="100"/>
        <v>64.23206705456208</v>
      </c>
      <c r="J254" s="306">
        <f t="shared" ca="1" si="101"/>
        <v>326.31932960176539</v>
      </c>
      <c r="K254" s="307">
        <f t="shared" ca="1" si="102"/>
        <v>1339.1706620004506</v>
      </c>
      <c r="L254" s="304">
        <f t="shared" ca="1" si="87"/>
        <v>1378.3549495084605</v>
      </c>
      <c r="M254" s="306">
        <f t="shared" ca="1" si="103"/>
        <v>1.1782943094985312</v>
      </c>
      <c r="N254" s="304">
        <f t="shared" ca="1" si="104"/>
        <v>67.51129095854742</v>
      </c>
      <c r="P254" s="310">
        <f t="shared" ca="1" si="105"/>
        <v>23</v>
      </c>
      <c r="Q254" s="304">
        <f t="shared" ca="1" si="106"/>
        <v>0</v>
      </c>
      <c r="R254" s="306">
        <f t="shared" ca="1" si="107"/>
        <v>0</v>
      </c>
      <c r="S254" s="307">
        <f t="shared" ca="1" si="108"/>
        <v>2.9792999999999985</v>
      </c>
      <c r="T254" s="304">
        <f t="shared" ca="1" si="88"/>
        <v>29.226932999999988</v>
      </c>
      <c r="U254" s="311">
        <f t="shared" ca="1" si="89"/>
        <v>0</v>
      </c>
      <c r="V254" s="306">
        <f t="shared" ca="1" si="90"/>
        <v>1.0712466900017037</v>
      </c>
      <c r="W254" s="304">
        <f t="shared" ca="1" si="91"/>
        <v>9.0503663425750869</v>
      </c>
      <c r="Y254" s="314" t="str">
        <f t="shared" ca="1" si="109"/>
        <v/>
      </c>
      <c r="Z254" s="315" t="str">
        <f t="shared" ca="1" si="110"/>
        <v/>
      </c>
      <c r="AA254" s="316" t="str">
        <f t="shared" ca="1" si="111"/>
        <v/>
      </c>
      <c r="AC254" s="310" t="e">
        <f t="shared" ca="1" si="112"/>
        <v>#N/A</v>
      </c>
      <c r="AD254" s="323" t="e">
        <f t="shared" ca="1" si="113"/>
        <v>#N/A</v>
      </c>
      <c r="AE254" s="324">
        <f t="shared" ca="1" si="92"/>
        <v>1339.1706620004506</v>
      </c>
      <c r="AG254" s="306">
        <f t="shared" ca="1" si="114"/>
        <v>-12.241906035421577</v>
      </c>
      <c r="AH254" s="304">
        <f t="shared" ca="1" si="115"/>
        <v>-3.1564433799331848</v>
      </c>
    </row>
    <row r="255" spans="1:34" x14ac:dyDescent="0.2">
      <c r="A255" s="347">
        <f t="shared" ca="1" si="93"/>
        <v>0.1</v>
      </c>
      <c r="B255" s="304">
        <f t="shared" ca="1" si="94"/>
        <v>10.29999999999994</v>
      </c>
      <c r="D255" s="306">
        <f t="shared" ca="1" si="95"/>
        <v>-1.1619432232743809</v>
      </c>
      <c r="E255" s="307">
        <f t="shared" ca="1" si="96"/>
        <v>-12.616743389756699</v>
      </c>
      <c r="F255" s="304">
        <f t="shared" ca="1" si="97"/>
        <v>12.670135193323024</v>
      </c>
      <c r="G255" s="306">
        <f t="shared" ca="1" si="98"/>
        <v>24.452658756657904</v>
      </c>
      <c r="H255" s="307">
        <f t="shared" ca="1" si="99"/>
        <v>58.085860542306392</v>
      </c>
      <c r="I255" s="304">
        <f t="shared" ca="1" si="100"/>
        <v>63.023009410927259</v>
      </c>
      <c r="J255" s="306">
        <f t="shared" ca="1" si="101"/>
        <v>328.77040519354756</v>
      </c>
      <c r="K255" s="307">
        <f t="shared" ca="1" si="102"/>
        <v>1345.04233177163</v>
      </c>
      <c r="L255" s="304">
        <f t="shared" ca="1" si="87"/>
        <v>1384.6403336566477</v>
      </c>
      <c r="M255" s="306">
        <f t="shared" ca="1" si="103"/>
        <v>1.1723403562392212</v>
      </c>
      <c r="N255" s="304">
        <f t="shared" ca="1" si="104"/>
        <v>67.170154565370794</v>
      </c>
      <c r="P255" s="310">
        <f t="shared" ca="1" si="105"/>
        <v>23</v>
      </c>
      <c r="Q255" s="304">
        <f t="shared" ca="1" si="106"/>
        <v>0</v>
      </c>
      <c r="R255" s="306">
        <f t="shared" ca="1" si="107"/>
        <v>0</v>
      </c>
      <c r="S255" s="307">
        <f t="shared" ca="1" si="108"/>
        <v>2.9792999999999985</v>
      </c>
      <c r="T255" s="304">
        <f t="shared" ca="1" si="88"/>
        <v>29.226932999999988</v>
      </c>
      <c r="U255" s="311">
        <f t="shared" ca="1" si="89"/>
        <v>0</v>
      </c>
      <c r="V255" s="306">
        <f t="shared" ca="1" si="90"/>
        <v>1.0706150303372586</v>
      </c>
      <c r="W255" s="304">
        <f t="shared" ca="1" si="91"/>
        <v>8.7077204916001421</v>
      </c>
      <c r="Y255" s="314" t="str">
        <f t="shared" ca="1" si="109"/>
        <v/>
      </c>
      <c r="Z255" s="315" t="str">
        <f t="shared" ca="1" si="110"/>
        <v/>
      </c>
      <c r="AA255" s="316" t="str">
        <f t="shared" ca="1" si="111"/>
        <v/>
      </c>
      <c r="AC255" s="310" t="e">
        <f t="shared" ca="1" si="112"/>
        <v>#N/A</v>
      </c>
      <c r="AD255" s="323" t="e">
        <f t="shared" ca="1" si="113"/>
        <v>#N/A</v>
      </c>
      <c r="AE255" s="324">
        <f t="shared" ca="1" si="92"/>
        <v>1345.04233177163</v>
      </c>
      <c r="AG255" s="306">
        <f t="shared" ca="1" si="114"/>
        <v>-12.101747092931404</v>
      </c>
      <c r="AH255" s="304">
        <f t="shared" ca="1" si="115"/>
        <v>-3.0377492506881119</v>
      </c>
    </row>
    <row r="256" spans="1:34" x14ac:dyDescent="0.2">
      <c r="A256" s="347">
        <f t="shared" ca="1" si="93"/>
        <v>0.1</v>
      </c>
      <c r="B256" s="304">
        <f t="shared" ca="1" si="94"/>
        <v>10.39999999999994</v>
      </c>
      <c r="D256" s="306">
        <f t="shared" ca="1" si="95"/>
        <v>-1.1340108073267892</v>
      </c>
      <c r="E256" s="307">
        <f t="shared" ca="1" si="96"/>
        <v>-12.503776339962101</v>
      </c>
      <c r="F256" s="304">
        <f t="shared" ca="1" si="97"/>
        <v>12.555094713737924</v>
      </c>
      <c r="G256" s="306">
        <f t="shared" ca="1" si="98"/>
        <v>24.339257675925225</v>
      </c>
      <c r="H256" s="307">
        <f t="shared" ca="1" si="99"/>
        <v>56.835482908310183</v>
      </c>
      <c r="I256" s="304">
        <f t="shared" ca="1" si="100"/>
        <v>61.827757371878725</v>
      </c>
      <c r="J256" s="306">
        <f t="shared" ca="1" si="101"/>
        <v>331.21000101517672</v>
      </c>
      <c r="K256" s="307">
        <f t="shared" ca="1" si="102"/>
        <v>1350.7883989441607</v>
      </c>
      <c r="L256" s="304">
        <f t="shared" ca="1" si="87"/>
        <v>1390.801698120405</v>
      </c>
      <c r="M256" s="306">
        <f t="shared" ca="1" si="103"/>
        <v>1.1661841210001018</v>
      </c>
      <c r="N256" s="304">
        <f t="shared" ca="1" si="104"/>
        <v>66.817428268479546</v>
      </c>
      <c r="P256" s="310">
        <f t="shared" ca="1" si="105"/>
        <v>23</v>
      </c>
      <c r="Q256" s="304">
        <f t="shared" ca="1" si="106"/>
        <v>0</v>
      </c>
      <c r="R256" s="306">
        <f t="shared" ca="1" si="107"/>
        <v>0</v>
      </c>
      <c r="S256" s="307">
        <f t="shared" ca="1" si="108"/>
        <v>2.9792999999999985</v>
      </c>
      <c r="T256" s="304">
        <f t="shared" ca="1" si="88"/>
        <v>29.226932999999988</v>
      </c>
      <c r="U256" s="311">
        <f t="shared" ca="1" si="89"/>
        <v>0</v>
      </c>
      <c r="V256" s="306">
        <f t="shared" ca="1" si="90"/>
        <v>1.0699972190452296</v>
      </c>
      <c r="W256" s="304">
        <f t="shared" ca="1" si="91"/>
        <v>8.3757268627883992</v>
      </c>
      <c r="Y256" s="314" t="str">
        <f t="shared" ca="1" si="109"/>
        <v/>
      </c>
      <c r="Z256" s="315" t="str">
        <f t="shared" ca="1" si="110"/>
        <v/>
      </c>
      <c r="AA256" s="316" t="str">
        <f t="shared" ca="1" si="111"/>
        <v/>
      </c>
      <c r="AC256" s="310" t="e">
        <f t="shared" ca="1" si="112"/>
        <v>#N/A</v>
      </c>
      <c r="AD256" s="323" t="e">
        <f t="shared" ca="1" si="113"/>
        <v>#N/A</v>
      </c>
      <c r="AE256" s="324">
        <f t="shared" ca="1" si="92"/>
        <v>1350.7883989441607</v>
      </c>
      <c r="AG256" s="306">
        <f t="shared" ca="1" si="114"/>
        <v>-11.964236476184789</v>
      </c>
      <c r="AH256" s="304">
        <f t="shared" ca="1" si="115"/>
        <v>-2.9227404060014588</v>
      </c>
    </row>
    <row r="257" spans="1:34" x14ac:dyDescent="0.2">
      <c r="A257" s="347">
        <f t="shared" ca="1" si="93"/>
        <v>0.1</v>
      </c>
      <c r="B257" s="304">
        <f t="shared" ca="1" si="94"/>
        <v>10.49999999999994</v>
      </c>
      <c r="D257" s="306">
        <f t="shared" ca="1" si="95"/>
        <v>-1.1067055917155648</v>
      </c>
      <c r="E257" s="307">
        <f t="shared" ca="1" si="96"/>
        <v>-12.394308345800454</v>
      </c>
      <c r="F257" s="304">
        <f t="shared" ca="1" si="97"/>
        <v>12.443619916949942</v>
      </c>
      <c r="G257" s="306">
        <f t="shared" ca="1" si="98"/>
        <v>24.228587116753669</v>
      </c>
      <c r="H257" s="307">
        <f t="shared" ca="1" si="99"/>
        <v>55.596052073730135</v>
      </c>
      <c r="I257" s="304">
        <f t="shared" ca="1" si="100"/>
        <v>60.646066977661754</v>
      </c>
      <c r="J257" s="306">
        <f t="shared" ca="1" si="101"/>
        <v>333.63839325481064</v>
      </c>
      <c r="K257" s="307">
        <f t="shared" ca="1" si="102"/>
        <v>1356.4099756932626</v>
      </c>
      <c r="L257" s="304">
        <f t="shared" ca="1" si="87"/>
        <v>1396.8402197867331</v>
      </c>
      <c r="M257" s="306">
        <f t="shared" ca="1" si="103"/>
        <v>1.159816266438447</v>
      </c>
      <c r="N257" s="304">
        <f t="shared" ca="1" si="104"/>
        <v>66.452577077543609</v>
      </c>
      <c r="P257" s="310">
        <f t="shared" ca="1" si="105"/>
        <v>23</v>
      </c>
      <c r="Q257" s="304">
        <f t="shared" ca="1" si="106"/>
        <v>0</v>
      </c>
      <c r="R257" s="306">
        <f t="shared" ca="1" si="107"/>
        <v>0</v>
      </c>
      <c r="S257" s="307">
        <f t="shared" ca="1" si="108"/>
        <v>2.9792999999999985</v>
      </c>
      <c r="T257" s="304">
        <f t="shared" ca="1" si="88"/>
        <v>29.226932999999988</v>
      </c>
      <c r="U257" s="311">
        <f t="shared" ca="1" si="89"/>
        <v>0</v>
      </c>
      <c r="V257" s="306">
        <f t="shared" ca="1" si="90"/>
        <v>1.0693931145622888</v>
      </c>
      <c r="W257" s="304">
        <f t="shared" ca="1" si="91"/>
        <v>8.0540725133642166</v>
      </c>
      <c r="Y257" s="314" t="str">
        <f t="shared" ca="1" si="109"/>
        <v/>
      </c>
      <c r="Z257" s="315" t="str">
        <f t="shared" ca="1" si="110"/>
        <v/>
      </c>
      <c r="AA257" s="316" t="str">
        <f t="shared" ca="1" si="111"/>
        <v/>
      </c>
      <c r="AC257" s="310" t="e">
        <f t="shared" ca="1" si="112"/>
        <v>#N/A</v>
      </c>
      <c r="AD257" s="323" t="e">
        <f t="shared" ca="1" si="113"/>
        <v>#N/A</v>
      </c>
      <c r="AE257" s="324">
        <f t="shared" ca="1" si="92"/>
        <v>1356.4099756932626</v>
      </c>
      <c r="AG257" s="306">
        <f t="shared" ca="1" si="114"/>
        <v>-11.829199760832221</v>
      </c>
      <c r="AH257" s="304">
        <f t="shared" ca="1" si="115"/>
        <v>-2.8113069723721691</v>
      </c>
    </row>
    <row r="258" spans="1:34" x14ac:dyDescent="0.2">
      <c r="A258" s="347">
        <f t="shared" ca="1" si="93"/>
        <v>0.1</v>
      </c>
      <c r="B258" s="304">
        <f t="shared" ca="1" si="94"/>
        <v>10.599999999999939</v>
      </c>
      <c r="D258" s="306">
        <f t="shared" ca="1" si="95"/>
        <v>-1.0800074384513705</v>
      </c>
      <c r="E258" s="307">
        <f t="shared" ca="1" si="96"/>
        <v>-12.288235709693479</v>
      </c>
      <c r="F258" s="304">
        <f t="shared" ca="1" si="97"/>
        <v>12.33560508949992</v>
      </c>
      <c r="G258" s="306">
        <f t="shared" ca="1" si="98"/>
        <v>24.120586372908534</v>
      </c>
      <c r="H258" s="307">
        <f t="shared" ca="1" si="99"/>
        <v>54.367228502760788</v>
      </c>
      <c r="I258" s="304">
        <f t="shared" ca="1" si="100"/>
        <v>59.477711977213325</v>
      </c>
      <c r="J258" s="306">
        <f t="shared" ca="1" si="101"/>
        <v>336.05585192929374</v>
      </c>
      <c r="K258" s="307">
        <f t="shared" ca="1" si="102"/>
        <v>1361.9081397220871</v>
      </c>
      <c r="L258" s="304">
        <f t="shared" ca="1" si="87"/>
        <v>1402.7570412074926</v>
      </c>
      <c r="M258" s="306">
        <f t="shared" ca="1" si="103"/>
        <v>1.1532269047788859</v>
      </c>
      <c r="N258" s="304">
        <f t="shared" ca="1" si="104"/>
        <v>66.075034464765423</v>
      </c>
      <c r="P258" s="310">
        <f t="shared" ca="1" si="105"/>
        <v>23</v>
      </c>
      <c r="Q258" s="304">
        <f t="shared" ca="1" si="106"/>
        <v>0</v>
      </c>
      <c r="R258" s="306">
        <f t="shared" ca="1" si="107"/>
        <v>0</v>
      </c>
      <c r="S258" s="307">
        <f t="shared" ca="1" si="108"/>
        <v>2.9792999999999985</v>
      </c>
      <c r="T258" s="304">
        <f t="shared" ca="1" si="88"/>
        <v>29.226932999999988</v>
      </c>
      <c r="U258" s="311">
        <f t="shared" ca="1" si="89"/>
        <v>0</v>
      </c>
      <c r="V258" s="306">
        <f t="shared" ca="1" si="90"/>
        <v>1.0688025797838432</v>
      </c>
      <c r="W258" s="304">
        <f t="shared" ca="1" si="91"/>
        <v>7.7424582074416337</v>
      </c>
      <c r="Y258" s="314" t="str">
        <f t="shared" ca="1" si="109"/>
        <v/>
      </c>
      <c r="Z258" s="315" t="str">
        <f t="shared" ca="1" si="110"/>
        <v/>
      </c>
      <c r="AA258" s="316" t="str">
        <f t="shared" ca="1" si="111"/>
        <v/>
      </c>
      <c r="AC258" s="310" t="e">
        <f t="shared" ca="1" si="112"/>
        <v>#N/A</v>
      </c>
      <c r="AD258" s="323" t="e">
        <f t="shared" ca="1" si="113"/>
        <v>#N/A</v>
      </c>
      <c r="AE258" s="324">
        <f t="shared" ca="1" si="92"/>
        <v>1361.9081397220871</v>
      </c>
      <c r="AG258" s="306">
        <f t="shared" ca="1" si="114"/>
        <v>-11.696462475974386</v>
      </c>
      <c r="AH258" s="304">
        <f t="shared" ca="1" si="115"/>
        <v>-2.7033439107724031</v>
      </c>
    </row>
    <row r="259" spans="1:34" x14ac:dyDescent="0.2">
      <c r="A259" s="347">
        <f t="shared" ca="1" si="93"/>
        <v>0.1</v>
      </c>
      <c r="B259" s="304">
        <f t="shared" ca="1" si="94"/>
        <v>10.699999999999939</v>
      </c>
      <c r="D259" s="306">
        <f t="shared" ca="1" si="95"/>
        <v>-1.0538971765456318</v>
      </c>
      <c r="E259" s="307">
        <f t="shared" ca="1" si="96"/>
        <v>-12.185459191988198</v>
      </c>
      <c r="F259" s="304">
        <f t="shared" ca="1" si="97"/>
        <v>12.23094906286264</v>
      </c>
      <c r="G259" s="306">
        <f t="shared" ca="1" si="98"/>
        <v>24.01519665525397</v>
      </c>
      <c r="H259" s="307">
        <f t="shared" ca="1" si="99"/>
        <v>53.148682583561971</v>
      </c>
      <c r="I259" s="304">
        <f t="shared" ca="1" si="100"/>
        <v>58.322483921372424</v>
      </c>
      <c r="J259" s="306">
        <f t="shared" ca="1" si="101"/>
        <v>338.46264108070187</v>
      </c>
      <c r="K259" s="307">
        <f t="shared" ca="1" si="102"/>
        <v>1367.2839352764031</v>
      </c>
      <c r="L259" s="304">
        <f t="shared" ca="1" si="87"/>
        <v>1408.5532716486982</v>
      </c>
      <c r="M259" s="306">
        <f t="shared" ca="1" si="103"/>
        <v>1.1464055604703491</v>
      </c>
      <c r="N259" s="304">
        <f t="shared" ca="1" si="104"/>
        <v>65.684200225280691</v>
      </c>
      <c r="P259" s="310">
        <f t="shared" ca="1" si="105"/>
        <v>23</v>
      </c>
      <c r="Q259" s="304">
        <f t="shared" ca="1" si="106"/>
        <v>0</v>
      </c>
      <c r="R259" s="306">
        <f t="shared" ca="1" si="107"/>
        <v>0</v>
      </c>
      <c r="S259" s="307">
        <f t="shared" ca="1" si="108"/>
        <v>2.9792999999999985</v>
      </c>
      <c r="T259" s="304">
        <f t="shared" ca="1" si="88"/>
        <v>29.226932999999988</v>
      </c>
      <c r="U259" s="311">
        <f t="shared" ca="1" si="89"/>
        <v>0</v>
      </c>
      <c r="V259" s="306">
        <f t="shared" ca="1" si="90"/>
        <v>1.0682254819295613</v>
      </c>
      <c r="W259" s="304">
        <f t="shared" ca="1" si="91"/>
        <v>7.4405977602601849</v>
      </c>
      <c r="Y259" s="314" t="str">
        <f t="shared" ca="1" si="109"/>
        <v/>
      </c>
      <c r="Z259" s="315" t="str">
        <f t="shared" ca="1" si="110"/>
        <v/>
      </c>
      <c r="AA259" s="316" t="str">
        <f t="shared" ca="1" si="111"/>
        <v/>
      </c>
      <c r="AC259" s="310" t="e">
        <f t="shared" ca="1" si="112"/>
        <v>#N/A</v>
      </c>
      <c r="AD259" s="323" t="e">
        <f t="shared" ca="1" si="113"/>
        <v>#N/A</v>
      </c>
      <c r="AE259" s="324">
        <f t="shared" ca="1" si="92"/>
        <v>1367.2839352764031</v>
      </c>
      <c r="AG259" s="306">
        <f t="shared" ca="1" si="114"/>
        <v>-11.565849446940222</v>
      </c>
      <c r="AH259" s="304">
        <f t="shared" ca="1" si="115"/>
        <v>-2.5987507828824348</v>
      </c>
    </row>
    <row r="260" spans="1:34" x14ac:dyDescent="0.2">
      <c r="A260" s="347">
        <f t="shared" ca="1" si="93"/>
        <v>0.1</v>
      </c>
      <c r="B260" s="304">
        <f t="shared" ca="1" si="94"/>
        <v>10.799999999999939</v>
      </c>
      <c r="D260" s="306">
        <f t="shared" ca="1" si="95"/>
        <v>-1.028356567091113</v>
      </c>
      <c r="E260" s="307">
        <f t="shared" ca="1" si="96"/>
        <v>-12.085883789404223</v>
      </c>
      <c r="F260" s="304">
        <f t="shared" ca="1" si="97"/>
        <v>12.12955498771753</v>
      </c>
      <c r="G260" s="306">
        <f t="shared" ca="1" si="98"/>
        <v>23.912360998544859</v>
      </c>
      <c r="H260" s="307">
        <f t="shared" ca="1" si="99"/>
        <v>51.940094204621552</v>
      </c>
      <c r="I260" s="304">
        <f t="shared" ca="1" si="100"/>
        <v>57.180192326623832</v>
      </c>
      <c r="J260" s="306">
        <f t="shared" ca="1" si="101"/>
        <v>340.8590189633918</v>
      </c>
      <c r="K260" s="307">
        <f t="shared" ca="1" si="102"/>
        <v>1372.5383741158123</v>
      </c>
      <c r="L260" s="304">
        <f t="shared" ref="L260:L323" ca="1" si="116">SQRT(pos_x^2+pos_z^2)</f>
        <v>1414.2299880956998</v>
      </c>
      <c r="M260" s="306">
        <f t="shared" ca="1" si="103"/>
        <v>1.1393411301928791</v>
      </c>
      <c r="N260" s="304">
        <f t="shared" ca="1" si="104"/>
        <v>65.279438185717225</v>
      </c>
      <c r="P260" s="310">
        <f t="shared" ca="1" si="105"/>
        <v>23</v>
      </c>
      <c r="Q260" s="304">
        <f t="shared" ca="1" si="106"/>
        <v>0</v>
      </c>
      <c r="R260" s="306">
        <f t="shared" ca="1" si="107"/>
        <v>0</v>
      </c>
      <c r="S260" s="307">
        <f t="shared" ca="1" si="108"/>
        <v>2.9792999999999985</v>
      </c>
      <c r="T260" s="304">
        <f t="shared" ref="T260:T323" ca="1" si="117">m*g</f>
        <v>29.226932999999988</v>
      </c>
      <c r="U260" s="311">
        <f t="shared" ref="U260:U323" ca="1" si="118">IF(pos_xz&lt;L_rampe,Poids*COS(Beta),0)</f>
        <v>0</v>
      </c>
      <c r="V260" s="306">
        <f t="shared" ref="V260:V323" ca="1" si="119">Rho_moyen*(20000-Alt_rampe-pos_z)/(20000+Alt_rampe+pos_z)</f>
        <v>1.0676616924147715</v>
      </c>
      <c r="W260" s="304">
        <f t="shared" ref="W260:W323" ca="1" si="120">1/2*Rho*Sref*Cx*vit_xz^2</f>
        <v>7.1482174204512852</v>
      </c>
      <c r="Y260" s="314" t="str">
        <f t="shared" ca="1" si="109"/>
        <v/>
      </c>
      <c r="Z260" s="315" t="str">
        <f t="shared" ca="1" si="110"/>
        <v/>
      </c>
      <c r="AA260" s="316" t="str">
        <f t="shared" ca="1" si="111"/>
        <v/>
      </c>
      <c r="AC260" s="310" t="e">
        <f t="shared" ca="1" si="112"/>
        <v>#N/A</v>
      </c>
      <c r="AD260" s="323" t="e">
        <f t="shared" ca="1" si="113"/>
        <v>#N/A</v>
      </c>
      <c r="AE260" s="324">
        <f t="shared" ref="AE260:AE323" ca="1" si="121">IF(t&lt;T_para, pos_z, NA())</f>
        <v>1372.5383741158123</v>
      </c>
      <c r="AG260" s="306">
        <f t="shared" ca="1" si="114"/>
        <v>-11.437184111612174</v>
      </c>
      <c r="AH260" s="304">
        <f t="shared" ca="1" si="115"/>
        <v>-2.4974315309838513</v>
      </c>
    </row>
    <row r="261" spans="1:34" x14ac:dyDescent="0.2">
      <c r="A261" s="347">
        <f t="shared" ref="A261:A324" ca="1" si="122">IF(B260+0.01&lt;=T_ini+ROUNDUP(Temps_fin_propu,0), 0.01, IF(K260&gt;0, 0.1, 0.0001))</f>
        <v>0.1</v>
      </c>
      <c r="B261" s="304">
        <f t="shared" ref="B261:B324" ca="1" si="123">B260+pas</f>
        <v>10.899999999999938</v>
      </c>
      <c r="D261" s="306">
        <f t="shared" ref="D261:D324" ca="1" si="124">IF(AND(L260&lt;L_rampe,Poussee&lt;Poids*SIN(M260)),0,(-W260+Poussee)/m*COS(M260)-U260/m*SIN(M260))</f>
        <v>-1.0033682715340766</v>
      </c>
      <c r="E261" s="307">
        <f t="shared" ref="E261:E324" ca="1" si="125">IF(AND(L260&lt;L_rampe,Poussee&lt;Poids*SIN(M260)),0,(-W260+Poussee)/m*SIN(M260)+U260/m*COS(M260)-Poids/m)</f>
        <v>-11.989418525363497</v>
      </c>
      <c r="F261" s="304">
        <f t="shared" ref="F261:F324" ca="1" si="126">SQRT(acc_x^2+acc_z^2)</f>
        <v>12.031330120342085</v>
      </c>
      <c r="G261" s="306">
        <f t="shared" ref="G261:G324" ca="1" si="127">G260+acc_x*pas</f>
        <v>23.81202417139145</v>
      </c>
      <c r="H261" s="307">
        <f t="shared" ref="H261:H324" ca="1" si="128">H260+acc_z*pas</f>
        <v>50.741152352085201</v>
      </c>
      <c r="I261" s="304">
        <f t="shared" ref="I261:I324" ca="1" si="129">SQRT(vit_x^2+vit_z^2)</f>
        <v>56.050664912706004</v>
      </c>
      <c r="J261" s="306">
        <f t="shared" ref="J261:J324" ca="1" si="130">J260+0.5*(vit_x+G260)*pas*(K260&gt;=0)</f>
        <v>343.2452382218886</v>
      </c>
      <c r="K261" s="307">
        <f t="shared" ref="K261:K324" ca="1" si="131">K260+0.5*(vit_z+H260)*pas</f>
        <v>1377.6724364436477</v>
      </c>
      <c r="L261" s="304">
        <f t="shared" ca="1" si="116"/>
        <v>1419.7882362164357</v>
      </c>
      <c r="M261" s="306">
        <f t="shared" ref="M261:M324" ca="1" si="132">IF(AND(L260&gt;L_rampe,G261&gt;0),ATAN2(G261,H261),$M$4)</f>
        <v>1.1320218400565218</v>
      </c>
      <c r="N261" s="304">
        <f t="shared" ref="N261:N324" ca="1" si="133">DEGREES(Beta)</f>
        <v>64.860073751872221</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2.9792999999999985</v>
      </c>
      <c r="T261" s="304">
        <f t="shared" ca="1" si="117"/>
        <v>29.226932999999988</v>
      </c>
      <c r="U261" s="311">
        <f t="shared" ca="1" si="118"/>
        <v>0</v>
      </c>
      <c r="V261" s="306">
        <f t="shared" ca="1" si="119"/>
        <v>1.0671110867274358</v>
      </c>
      <c r="W261" s="304">
        <f t="shared" ca="1" si="120"/>
        <v>6.865055287867909</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f t="shared" ca="1" si="121"/>
        <v>1377.6724364436477</v>
      </c>
      <c r="AG261" s="306">
        <f t="shared" ref="AG261:AG324" ca="1" si="143">IF(AND(L260&lt;L_rampe,Poussee&lt;Poids*SIN(M260)),0,(-W260+Poussee)/m-Poids*SIN(M260)/m)</f>
        <v>-11.310287805525631</v>
      </c>
      <c r="AH261" s="304">
        <f t="shared" ref="AH261:AH324" ca="1" si="144">IF(AND(L260&lt;L_rampe,Poussee&lt;Poids*SIN(M260)), g*SIN(M260), (-W260+Poussee)/m)</f>
        <v>-2.3992942706176916</v>
      </c>
    </row>
    <row r="262" spans="1:34" x14ac:dyDescent="0.2">
      <c r="A262" s="347">
        <f t="shared" ca="1" si="122"/>
        <v>0.1</v>
      </c>
      <c r="B262" s="304">
        <f t="shared" ca="1" si="123"/>
        <v>10.999999999999938</v>
      </c>
      <c r="D262" s="306">
        <f t="shared" ca="1" si="124"/>
        <v>-0.97891582304723734</v>
      </c>
      <c r="E262" s="307">
        <f t="shared" ca="1" si="125"/>
        <v>-11.895976251308509</v>
      </c>
      <c r="F262" s="304">
        <f t="shared" ca="1" si="126"/>
        <v>11.93618562021839</v>
      </c>
      <c r="G262" s="306">
        <f t="shared" ca="1" si="127"/>
        <v>23.714132589086727</v>
      </c>
      <c r="H262" s="307">
        <f t="shared" ca="1" si="128"/>
        <v>49.55155472695435</v>
      </c>
      <c r="I262" s="304">
        <f t="shared" ca="1" si="129"/>
        <v>54.933747917934177</v>
      </c>
      <c r="J262" s="306">
        <f t="shared" ca="1" si="130"/>
        <v>345.62154605991253</v>
      </c>
      <c r="K262" s="307">
        <f t="shared" ca="1" si="131"/>
        <v>1382.6870717975996</v>
      </c>
      <c r="L262" s="304">
        <f t="shared" ca="1" si="116"/>
        <v>1425.2290312848195</v>
      </c>
      <c r="M262" s="306">
        <f t="shared" ca="1" si="132"/>
        <v>1.1244351998361464</v>
      </c>
      <c r="N262" s="304">
        <f t="shared" ca="1" si="133"/>
        <v>64.425391286560497</v>
      </c>
      <c r="P262" s="310">
        <f t="shared" ca="1" si="134"/>
        <v>23</v>
      </c>
      <c r="Q262" s="304">
        <f t="shared" ca="1" si="135"/>
        <v>0</v>
      </c>
      <c r="R262" s="306">
        <f t="shared" ca="1" si="136"/>
        <v>0</v>
      </c>
      <c r="S262" s="307">
        <f t="shared" ca="1" si="137"/>
        <v>2.9792999999999985</v>
      </c>
      <c r="T262" s="304">
        <f t="shared" ca="1" si="117"/>
        <v>29.226932999999988</v>
      </c>
      <c r="U262" s="311">
        <f t="shared" ca="1" si="118"/>
        <v>0</v>
      </c>
      <c r="V262" s="306">
        <f t="shared" ca="1" si="119"/>
        <v>1.0665735443104287</v>
      </c>
      <c r="W262" s="304">
        <f t="shared" ca="1" si="120"/>
        <v>6.5908607646886042</v>
      </c>
      <c r="Y262" s="314" t="str">
        <f t="shared" ca="1" si="138"/>
        <v/>
      </c>
      <c r="Z262" s="315" t="str">
        <f t="shared" ca="1" si="139"/>
        <v/>
      </c>
      <c r="AA262" s="316" t="str">
        <f t="shared" ca="1" si="140"/>
        <v/>
      </c>
      <c r="AC262" s="310">
        <f t="shared" ca="1" si="141"/>
        <v>10.999999999999938</v>
      </c>
      <c r="AD262" s="323">
        <f t="shared" ca="1" si="142"/>
        <v>345.62154605991253</v>
      </c>
      <c r="AE262" s="324">
        <f t="shared" ca="1" si="121"/>
        <v>1382.6870717975996</v>
      </c>
      <c r="AG262" s="306">
        <f t="shared" ca="1" si="143"/>
        <v>-11.184979010703483</v>
      </c>
      <c r="AH262" s="304">
        <f t="shared" ca="1" si="144"/>
        <v>-2.3042510951793753</v>
      </c>
    </row>
    <row r="263" spans="1:34" x14ac:dyDescent="0.2">
      <c r="A263" s="347">
        <f t="shared" ca="1" si="122"/>
        <v>0.1</v>
      </c>
      <c r="B263" s="304">
        <f t="shared" ca="1" si="123"/>
        <v>11.099999999999937</v>
      </c>
      <c r="D263" s="306">
        <f t="shared" ca="1" si="124"/>
        <v>-0.95498360093092038</v>
      </c>
      <c r="E263" s="307">
        <f t="shared" ca="1" si="125"/>
        <v>-11.805473458162648</v>
      </c>
      <c r="F263" s="304">
        <f t="shared" ca="1" si="126"/>
        <v>11.844036357991721</v>
      </c>
      <c r="G263" s="306">
        <f t="shared" ca="1" si="127"/>
        <v>23.618634228993635</v>
      </c>
      <c r="H263" s="307">
        <f t="shared" ca="1" si="128"/>
        <v>48.371007381138085</v>
      </c>
      <c r="I263" s="304">
        <f t="shared" ca="1" si="129"/>
        <v>53.829306496639028</v>
      </c>
      <c r="J263" s="306">
        <f t="shared" ca="1" si="130"/>
        <v>347.98818440081652</v>
      </c>
      <c r="K263" s="307">
        <f t="shared" ca="1" si="131"/>
        <v>1387.5831999030042</v>
      </c>
      <c r="L263" s="304">
        <f t="shared" ca="1" si="116"/>
        <v>1430.5533590662171</v>
      </c>
      <c r="M263" s="306">
        <f t="shared" ca="1" si="132"/>
        <v>1.1165679540914548</v>
      </c>
      <c r="N263" s="304">
        <f t="shared" ca="1" si="133"/>
        <v>63.974631308997424</v>
      </c>
      <c r="P263" s="310">
        <f t="shared" ca="1" si="134"/>
        <v>23</v>
      </c>
      <c r="Q263" s="304">
        <f t="shared" ca="1" si="135"/>
        <v>0</v>
      </c>
      <c r="R263" s="306">
        <f t="shared" ca="1" si="136"/>
        <v>0</v>
      </c>
      <c r="S263" s="307">
        <f t="shared" ca="1" si="137"/>
        <v>2.9792999999999985</v>
      </c>
      <c r="T263" s="304">
        <f t="shared" ca="1" si="117"/>
        <v>29.226932999999988</v>
      </c>
      <c r="U263" s="311">
        <f t="shared" ca="1" si="118"/>
        <v>0</v>
      </c>
      <c r="V263" s="306">
        <f t="shared" ca="1" si="119"/>
        <v>1.0660489484488467</v>
      </c>
      <c r="W263" s="304">
        <f t="shared" ca="1" si="120"/>
        <v>6.3253940376706428</v>
      </c>
      <c r="Y263" s="314" t="str">
        <f t="shared" ca="1" si="138"/>
        <v/>
      </c>
      <c r="Z263" s="315" t="str">
        <f t="shared" ca="1" si="139"/>
        <v/>
      </c>
      <c r="AA263" s="316" t="str">
        <f t="shared" ca="1" si="140"/>
        <v/>
      </c>
      <c r="AC263" s="310" t="e">
        <f t="shared" ca="1" si="141"/>
        <v>#N/A</v>
      </c>
      <c r="AD263" s="323" t="e">
        <f t="shared" ca="1" si="142"/>
        <v>#N/A</v>
      </c>
      <c r="AE263" s="324">
        <f t="shared" ca="1" si="121"/>
        <v>1387.5831999030042</v>
      </c>
      <c r="AG263" s="306">
        <f t="shared" ca="1" si="143"/>
        <v>-11.061072562905574</v>
      </c>
      <c r="AH263" s="304">
        <f t="shared" ca="1" si="144"/>
        <v>-2.2122178916821427</v>
      </c>
    </row>
    <row r="264" spans="1:34" x14ac:dyDescent="0.2">
      <c r="A264" s="347">
        <f t="shared" ca="1" si="122"/>
        <v>0.1</v>
      </c>
      <c r="B264" s="304">
        <f t="shared" ca="1" si="123"/>
        <v>11.199999999999937</v>
      </c>
      <c r="D264" s="306">
        <f t="shared" ca="1" si="124"/>
        <v>-0.9315568079875608</v>
      </c>
      <c r="E264" s="307">
        <f t="shared" ca="1" si="125"/>
        <v>-11.717830097127328</v>
      </c>
      <c r="F264" s="304">
        <f t="shared" ca="1" si="126"/>
        <v>11.7548007329623</v>
      </c>
      <c r="G264" s="306">
        <f t="shared" ca="1" si="127"/>
        <v>23.525478548194879</v>
      </c>
      <c r="H264" s="307">
        <f t="shared" ca="1" si="128"/>
        <v>47.199224371425352</v>
      </c>
      <c r="I264" s="304">
        <f t="shared" ca="1" si="129"/>
        <v>52.737225203699616</v>
      </c>
      <c r="J264" s="306">
        <f t="shared" ca="1" si="130"/>
        <v>350.34539003967592</v>
      </c>
      <c r="K264" s="307">
        <f t="shared" ca="1" si="131"/>
        <v>1392.3617114906324</v>
      </c>
      <c r="L264" s="304">
        <f t="shared" ca="1" si="116"/>
        <v>1435.7621766668656</v>
      </c>
      <c r="M264" s="306">
        <f t="shared" ca="1" si="132"/>
        <v>1.1084060300318435</v>
      </c>
      <c r="N264" s="304">
        <f t="shared" ca="1" si="133"/>
        <v>63.506987507675404</v>
      </c>
      <c r="P264" s="310">
        <f t="shared" ca="1" si="134"/>
        <v>23</v>
      </c>
      <c r="Q264" s="304">
        <f t="shared" ca="1" si="135"/>
        <v>0</v>
      </c>
      <c r="R264" s="306">
        <f t="shared" ca="1" si="136"/>
        <v>0</v>
      </c>
      <c r="S264" s="307">
        <f t="shared" ca="1" si="137"/>
        <v>2.9792999999999985</v>
      </c>
      <c r="T264" s="304">
        <f t="shared" ca="1" si="117"/>
        <v>29.226932999999988</v>
      </c>
      <c r="U264" s="311">
        <f t="shared" ca="1" si="118"/>
        <v>0</v>
      </c>
      <c r="V264" s="306">
        <f t="shared" ca="1" si="119"/>
        <v>1.0655371861621186</v>
      </c>
      <c r="W264" s="304">
        <f t="shared" ca="1" si="120"/>
        <v>6.0684255895779273</v>
      </c>
      <c r="Y264" s="314" t="str">
        <f t="shared" ca="1" si="138"/>
        <v/>
      </c>
      <c r="Z264" s="315" t="str">
        <f t="shared" ca="1" si="139"/>
        <v/>
      </c>
      <c r="AA264" s="316" t="str">
        <f t="shared" ca="1" si="140"/>
        <v/>
      </c>
      <c r="AC264" s="310" t="e">
        <f t="shared" ca="1" si="141"/>
        <v>#N/A</v>
      </c>
      <c r="AD264" s="323" t="e">
        <f t="shared" ca="1" si="142"/>
        <v>#N/A</v>
      </c>
      <c r="AE264" s="324">
        <f t="shared" ca="1" si="121"/>
        <v>1392.3617114906324</v>
      </c>
      <c r="AG264" s="306">
        <f t="shared" ca="1" si="143"/>
        <v>-10.938378811683531</v>
      </c>
      <c r="AH264" s="304">
        <f t="shared" ca="1" si="144"/>
        <v>-2.123114166975681</v>
      </c>
    </row>
    <row r="265" spans="1:34" x14ac:dyDescent="0.2">
      <c r="A265" s="347">
        <f t="shared" ca="1" si="122"/>
        <v>0.1</v>
      </c>
      <c r="B265" s="304">
        <f t="shared" ca="1" si="123"/>
        <v>11.299999999999937</v>
      </c>
      <c r="D265" s="306">
        <f t="shared" ca="1" si="124"/>
        <v>-0.90862145083210888</v>
      </c>
      <c r="E265" s="307">
        <f t="shared" ca="1" si="125"/>
        <v>-11.632969409045472</v>
      </c>
      <c r="F265" s="304">
        <f t="shared" ca="1" si="126"/>
        <v>11.668400499327234</v>
      </c>
      <c r="G265" s="306">
        <f t="shared" ca="1" si="127"/>
        <v>23.434616403111669</v>
      </c>
      <c r="H265" s="307">
        <f t="shared" ca="1" si="128"/>
        <v>46.035927430520807</v>
      </c>
      <c r="I265" s="304">
        <f t="shared" ca="1" si="129"/>
        <v>51.657408571754438</v>
      </c>
      <c r="J265" s="306">
        <f t="shared" ca="1" si="130"/>
        <v>352.69339478724123</v>
      </c>
      <c r="K265" s="307">
        <f t="shared" ca="1" si="131"/>
        <v>1397.0234690807297</v>
      </c>
      <c r="L265" s="304">
        <f t="shared" ca="1" si="116"/>
        <v>1440.8564133489865</v>
      </c>
      <c r="M265" s="306">
        <f t="shared" ca="1" si="132"/>
        <v>1.0999344820026407</v>
      </c>
      <c r="N265" s="304">
        <f t="shared" ca="1" si="133"/>
        <v>63.021603559659717</v>
      </c>
      <c r="P265" s="310">
        <f t="shared" ca="1" si="134"/>
        <v>23</v>
      </c>
      <c r="Q265" s="304">
        <f t="shared" ca="1" si="135"/>
        <v>0</v>
      </c>
      <c r="R265" s="306">
        <f t="shared" ca="1" si="136"/>
        <v>0</v>
      </c>
      <c r="S265" s="307">
        <f t="shared" ca="1" si="137"/>
        <v>2.9792999999999985</v>
      </c>
      <c r="T265" s="304">
        <f t="shared" ca="1" si="117"/>
        <v>29.226932999999988</v>
      </c>
      <c r="U265" s="311">
        <f t="shared" ca="1" si="118"/>
        <v>0</v>
      </c>
      <c r="V265" s="306">
        <f t="shared" ca="1" si="119"/>
        <v>1.0650381481006603</v>
      </c>
      <c r="W265" s="304">
        <f t="shared" ca="1" si="120"/>
        <v>5.8197357379472381</v>
      </c>
      <c r="Y265" s="314" t="str">
        <f t="shared" ca="1" si="138"/>
        <v/>
      </c>
      <c r="Z265" s="315" t="str">
        <f t="shared" ca="1" si="139"/>
        <v/>
      </c>
      <c r="AA265" s="316" t="str">
        <f t="shared" ca="1" si="140"/>
        <v/>
      </c>
      <c r="AC265" s="310" t="e">
        <f t="shared" ca="1" si="141"/>
        <v>#N/A</v>
      </c>
      <c r="AD265" s="323" t="e">
        <f t="shared" ca="1" si="142"/>
        <v>#N/A</v>
      </c>
      <c r="AE265" s="324">
        <f t="shared" ca="1" si="121"/>
        <v>1397.0234690807297</v>
      </c>
      <c r="AG265" s="306">
        <f t="shared" ca="1" si="143"/>
        <v>-10.816702727344619</v>
      </c>
      <c r="AH265" s="304">
        <f t="shared" ca="1" si="144"/>
        <v>-2.0368628837572351</v>
      </c>
    </row>
    <row r="266" spans="1:34" x14ac:dyDescent="0.2">
      <c r="A266" s="347">
        <f t="shared" ca="1" si="122"/>
        <v>0.1</v>
      </c>
      <c r="B266" s="304">
        <f t="shared" ca="1" si="123"/>
        <v>11.399999999999936</v>
      </c>
      <c r="D266" s="306">
        <f t="shared" ca="1" si="124"/>
        <v>-0.88616432311792503</v>
      </c>
      <c r="E266" s="307">
        <f t="shared" ca="1" si="125"/>
        <v>-11.550817761589499</v>
      </c>
      <c r="F266" s="304">
        <f t="shared" ca="1" si="126"/>
        <v>11.584760600418919</v>
      </c>
      <c r="G266" s="306">
        <f t="shared" ca="1" si="127"/>
        <v>23.345999970799877</v>
      </c>
      <c r="H266" s="307">
        <f t="shared" ca="1" si="128"/>
        <v>44.880845654361856</v>
      </c>
      <c r="I266" s="304">
        <f t="shared" ca="1" si="129"/>
        <v>50.589781787306016</v>
      </c>
      <c r="J266" s="306">
        <f t="shared" ca="1" si="130"/>
        <v>355.03242560593679</v>
      </c>
      <c r="K266" s="307">
        <f t="shared" ca="1" si="131"/>
        <v>1401.5693077349738</v>
      </c>
      <c r="L266" s="304">
        <f t="shared" ca="1" si="116"/>
        <v>1445.8369713132697</v>
      </c>
      <c r="M266" s="306">
        <f t="shared" ca="1" si="132"/>
        <v>1.0911374324944259</v>
      </c>
      <c r="N266" s="304">
        <f t="shared" ca="1" si="133"/>
        <v>62.51756975067137</v>
      </c>
      <c r="P266" s="310">
        <f t="shared" ca="1" si="134"/>
        <v>23</v>
      </c>
      <c r="Q266" s="304">
        <f t="shared" ca="1" si="135"/>
        <v>0</v>
      </c>
      <c r="R266" s="306">
        <f t="shared" ca="1" si="136"/>
        <v>0</v>
      </c>
      <c r="S266" s="307">
        <f t="shared" ca="1" si="137"/>
        <v>2.9792999999999985</v>
      </c>
      <c r="T266" s="304">
        <f t="shared" ca="1" si="117"/>
        <v>29.226932999999988</v>
      </c>
      <c r="U266" s="311">
        <f t="shared" ca="1" si="118"/>
        <v>0</v>
      </c>
      <c r="V266" s="306">
        <f t="shared" ca="1" si="119"/>
        <v>1.0645517284468657</v>
      </c>
      <c r="W266" s="304">
        <f t="shared" ca="1" si="120"/>
        <v>5.5791141994839935</v>
      </c>
      <c r="Y266" s="314" t="str">
        <f t="shared" ca="1" si="138"/>
        <v/>
      </c>
      <c r="Z266" s="315" t="str">
        <f t="shared" ca="1" si="139"/>
        <v/>
      </c>
      <c r="AA266" s="316" t="str">
        <f t="shared" ca="1" si="140"/>
        <v/>
      </c>
      <c r="AC266" s="310" t="e">
        <f t="shared" ca="1" si="141"/>
        <v>#N/A</v>
      </c>
      <c r="AD266" s="323" t="e">
        <f t="shared" ca="1" si="142"/>
        <v>#N/A</v>
      </c>
      <c r="AE266" s="324">
        <f t="shared" ca="1" si="121"/>
        <v>1401.5693077349738</v>
      </c>
      <c r="AG266" s="306">
        <f t="shared" ca="1" si="143"/>
        <v>-10.695842948657065</v>
      </c>
      <c r="AH266" s="304">
        <f t="shared" ca="1" si="144"/>
        <v>-1.9533903057588162</v>
      </c>
    </row>
    <row r="267" spans="1:34" x14ac:dyDescent="0.2">
      <c r="A267" s="347">
        <f t="shared" ca="1" si="122"/>
        <v>0.1</v>
      </c>
      <c r="B267" s="304">
        <f t="shared" ca="1" si="123"/>
        <v>11.499999999999936</v>
      </c>
      <c r="D267" s="306">
        <f t="shared" ca="1" si="124"/>
        <v>-0.86417299167458028</v>
      </c>
      <c r="E267" s="307">
        <f t="shared" ca="1" si="125"/>
        <v>-11.471304493554582</v>
      </c>
      <c r="F267" s="304">
        <f t="shared" ca="1" si="126"/>
        <v>11.503809010209851</v>
      </c>
      <c r="G267" s="306">
        <f t="shared" ca="1" si="127"/>
        <v>23.259582671632419</v>
      </c>
      <c r="H267" s="307">
        <f t="shared" ca="1" si="128"/>
        <v>43.733715205006398</v>
      </c>
      <c r="I267" s="304">
        <f t="shared" ca="1" si="129"/>
        <v>49.534291472586048</v>
      </c>
      <c r="J267" s="306">
        <f t="shared" ca="1" si="130"/>
        <v>357.36270473805843</v>
      </c>
      <c r="K267" s="307">
        <f t="shared" ca="1" si="131"/>
        <v>1406.0000357779422</v>
      </c>
      <c r="L267" s="304">
        <f t="shared" ca="1" si="116"/>
        <v>1450.7047264503124</v>
      </c>
      <c r="M267" s="306">
        <f t="shared" ca="1" si="132"/>
        <v>1.0819980096129431</v>
      </c>
      <c r="N267" s="304">
        <f t="shared" ca="1" si="133"/>
        <v>61.993919392377116</v>
      </c>
      <c r="P267" s="310">
        <f t="shared" ca="1" si="134"/>
        <v>23</v>
      </c>
      <c r="Q267" s="304">
        <f t="shared" ca="1" si="135"/>
        <v>0</v>
      </c>
      <c r="R267" s="306">
        <f t="shared" ca="1" si="136"/>
        <v>0</v>
      </c>
      <c r="S267" s="307">
        <f t="shared" ca="1" si="137"/>
        <v>2.9792999999999985</v>
      </c>
      <c r="T267" s="304">
        <f t="shared" ca="1" si="117"/>
        <v>29.226932999999988</v>
      </c>
      <c r="U267" s="311">
        <f t="shared" ca="1" si="118"/>
        <v>0</v>
      </c>
      <c r="V267" s="306">
        <f t="shared" ca="1" si="119"/>
        <v>1.0640778248202143</v>
      </c>
      <c r="W267" s="304">
        <f t="shared" ca="1" si="120"/>
        <v>5.3463596784954346</v>
      </c>
      <c r="Y267" s="314" t="str">
        <f t="shared" ca="1" si="138"/>
        <v/>
      </c>
      <c r="Z267" s="315" t="str">
        <f t="shared" ca="1" si="139"/>
        <v/>
      </c>
      <c r="AA267" s="316" t="str">
        <f t="shared" ca="1" si="140"/>
        <v/>
      </c>
      <c r="AC267" s="310" t="e">
        <f t="shared" ca="1" si="141"/>
        <v>#N/A</v>
      </c>
      <c r="AD267" s="323" t="e">
        <f t="shared" ca="1" si="142"/>
        <v>#N/A</v>
      </c>
      <c r="AE267" s="324">
        <f t="shared" ca="1" si="121"/>
        <v>1406.0000357779422</v>
      </c>
      <c r="AG267" s="306">
        <f t="shared" ca="1" si="143"/>
        <v>-10.575590764893512</v>
      </c>
      <c r="AH267" s="304">
        <f t="shared" ca="1" si="144"/>
        <v>-1.8726258515369369</v>
      </c>
    </row>
    <row r="268" spans="1:34" x14ac:dyDescent="0.2">
      <c r="A268" s="347">
        <f t="shared" ca="1" si="122"/>
        <v>0.1</v>
      </c>
      <c r="B268" s="304">
        <f t="shared" ca="1" si="123"/>
        <v>11.599999999999936</v>
      </c>
      <c r="D268" s="306">
        <f t="shared" ca="1" si="124"/>
        <v>-0.84263578557038976</v>
      </c>
      <c r="E268" s="307">
        <f t="shared" ca="1" si="125"/>
        <v>-11.394361765554237</v>
      </c>
      <c r="F268" s="304">
        <f t="shared" ca="1" si="126"/>
        <v>11.425476581370603</v>
      </c>
      <c r="G268" s="306">
        <f t="shared" ca="1" si="127"/>
        <v>23.17531909307538</v>
      </c>
      <c r="H268" s="307">
        <f t="shared" ca="1" si="128"/>
        <v>42.594279028450977</v>
      </c>
      <c r="I268" s="304">
        <f t="shared" ca="1" si="129"/>
        <v>48.490906580712668</v>
      </c>
      <c r="J268" s="306">
        <f t="shared" ca="1" si="130"/>
        <v>359.68444982629381</v>
      </c>
      <c r="K268" s="307">
        <f t="shared" ca="1" si="131"/>
        <v>1410.3164354896151</v>
      </c>
      <c r="L268" s="304">
        <f t="shared" ca="1" si="116"/>
        <v>1455.4605290625291</v>
      </c>
      <c r="M268" s="306">
        <f t="shared" ca="1" si="132"/>
        <v>1.0724982809963619</v>
      </c>
      <c r="N268" s="304">
        <f t="shared" ca="1" si="133"/>
        <v>61.449625036127358</v>
      </c>
      <c r="P268" s="310">
        <f t="shared" ca="1" si="134"/>
        <v>23</v>
      </c>
      <c r="Q268" s="304">
        <f t="shared" ca="1" si="135"/>
        <v>0</v>
      </c>
      <c r="R268" s="306">
        <f t="shared" ca="1" si="136"/>
        <v>0</v>
      </c>
      <c r="S268" s="307">
        <f t="shared" ca="1" si="137"/>
        <v>2.9792999999999985</v>
      </c>
      <c r="T268" s="304">
        <f t="shared" ca="1" si="117"/>
        <v>29.226932999999988</v>
      </c>
      <c r="U268" s="311">
        <f t="shared" ca="1" si="118"/>
        <v>0</v>
      </c>
      <c r="V268" s="306">
        <f t="shared" ca="1" si="119"/>
        <v>1.0636163381862909</v>
      </c>
      <c r="W268" s="304">
        <f t="shared" ca="1" si="120"/>
        <v>5.1212794778766479</v>
      </c>
      <c r="Y268" s="314" t="str">
        <f t="shared" ca="1" si="138"/>
        <v/>
      </c>
      <c r="Z268" s="315" t="str">
        <f t="shared" ca="1" si="139"/>
        <v/>
      </c>
      <c r="AA268" s="316" t="str">
        <f t="shared" ca="1" si="140"/>
        <v/>
      </c>
      <c r="AC268" s="310" t="e">
        <f t="shared" ca="1" si="141"/>
        <v>#N/A</v>
      </c>
      <c r="AD268" s="323" t="e">
        <f t="shared" ca="1" si="142"/>
        <v>#N/A</v>
      </c>
      <c r="AE268" s="324">
        <f t="shared" ca="1" si="121"/>
        <v>1410.3164354896151</v>
      </c>
      <c r="AG268" s="306">
        <f t="shared" ca="1" si="143"/>
        <v>-10.455729025633609</v>
      </c>
      <c r="AH268" s="304">
        <f t="shared" ca="1" si="144"/>
        <v>-1.7945019563304929</v>
      </c>
    </row>
    <row r="269" spans="1:34" x14ac:dyDescent="0.2">
      <c r="A269" s="347">
        <f t="shared" ca="1" si="122"/>
        <v>0.1</v>
      </c>
      <c r="B269" s="304">
        <f t="shared" ca="1" si="123"/>
        <v>11.699999999999935</v>
      </c>
      <c r="D269" s="306">
        <f t="shared" ca="1" si="124"/>
        <v>-0.82154178812859469</v>
      </c>
      <c r="E269" s="307">
        <f t="shared" ca="1" si="125"/>
        <v>-11.319924416425298</v>
      </c>
      <c r="F269" s="304">
        <f t="shared" ca="1" si="126"/>
        <v>11.349696899178548</v>
      </c>
      <c r="G269" s="306">
        <f t="shared" ca="1" si="127"/>
        <v>23.09316491426252</v>
      </c>
      <c r="H269" s="307">
        <f t="shared" ca="1" si="128"/>
        <v>41.462286586808446</v>
      </c>
      <c r="I269" s="304">
        <f t="shared" ca="1" si="129"/>
        <v>47.459619412337908</v>
      </c>
      <c r="J269" s="306">
        <f t="shared" ca="1" si="130"/>
        <v>361.99787402666072</v>
      </c>
      <c r="K269" s="307">
        <f t="shared" ca="1" si="131"/>
        <v>1414.5192637703781</v>
      </c>
      <c r="L269" s="304">
        <f t="shared" ca="1" si="116"/>
        <v>1460.1052045579847</v>
      </c>
      <c r="M269" s="306">
        <f t="shared" ca="1" si="132"/>
        <v>1.0626191842328583</v>
      </c>
      <c r="N269" s="304">
        <f t="shared" ca="1" si="133"/>
        <v>60.883594486177252</v>
      </c>
      <c r="P269" s="310">
        <f t="shared" ca="1" si="134"/>
        <v>23</v>
      </c>
      <c r="Q269" s="304">
        <f t="shared" ca="1" si="135"/>
        <v>0</v>
      </c>
      <c r="R269" s="306">
        <f t="shared" ca="1" si="136"/>
        <v>0</v>
      </c>
      <c r="S269" s="307">
        <f t="shared" ca="1" si="137"/>
        <v>2.9792999999999985</v>
      </c>
      <c r="T269" s="304">
        <f t="shared" ca="1" si="117"/>
        <v>29.226932999999988</v>
      </c>
      <c r="U269" s="311">
        <f t="shared" ca="1" si="118"/>
        <v>0</v>
      </c>
      <c r="V269" s="306">
        <f t="shared" ca="1" si="119"/>
        <v>1.0631671727695253</v>
      </c>
      <c r="W269" s="304">
        <f t="shared" ca="1" si="120"/>
        <v>4.903689131263711</v>
      </c>
      <c r="Y269" s="314" t="str">
        <f t="shared" ca="1" si="138"/>
        <v/>
      </c>
      <c r="Z269" s="315" t="str">
        <f t="shared" ca="1" si="139"/>
        <v/>
      </c>
      <c r="AA269" s="316" t="str">
        <f t="shared" ca="1" si="140"/>
        <v/>
      </c>
      <c r="AC269" s="310" t="e">
        <f t="shared" ca="1" si="141"/>
        <v>#N/A</v>
      </c>
      <c r="AD269" s="323" t="e">
        <f t="shared" ca="1" si="142"/>
        <v>#N/A</v>
      </c>
      <c r="AE269" s="324">
        <f t="shared" ca="1" si="121"/>
        <v>1414.5192637703781</v>
      </c>
      <c r="AG269" s="306">
        <f t="shared" ca="1" si="143"/>
        <v>-10.336030971665204</v>
      </c>
      <c r="AH269" s="304">
        <f t="shared" ca="1" si="144"/>
        <v>-1.7189539414884873</v>
      </c>
    </row>
    <row r="270" spans="1:34" x14ac:dyDescent="0.2">
      <c r="A270" s="347">
        <f t="shared" ca="1" si="122"/>
        <v>0.1</v>
      </c>
      <c r="B270" s="304">
        <f t="shared" ca="1" si="123"/>
        <v>11.799999999999935</v>
      </c>
      <c r="D270" s="306">
        <f t="shared" ca="1" si="124"/>
        <v>-0.80088083194161186</v>
      </c>
      <c r="E270" s="307">
        <f t="shared" ca="1" si="125"/>
        <v>-11.247929824652843</v>
      </c>
      <c r="F270" s="304">
        <f t="shared" ca="1" si="126"/>
        <v>11.27640614057894</v>
      </c>
      <c r="G270" s="306">
        <f t="shared" ca="1" si="127"/>
        <v>23.013076831068357</v>
      </c>
      <c r="H270" s="307">
        <f t="shared" ca="1" si="128"/>
        <v>40.337493604343159</v>
      </c>
      <c r="I270" s="304">
        <f t="shared" ca="1" si="129"/>
        <v>46.440446762634409</v>
      </c>
      <c r="J270" s="306">
        <f t="shared" ca="1" si="130"/>
        <v>364.30318611392727</v>
      </c>
      <c r="K270" s="307">
        <f t="shared" ca="1" si="131"/>
        <v>1418.6092527799356</v>
      </c>
      <c r="L270" s="304">
        <f t="shared" ca="1" si="116"/>
        <v>1464.639554117533</v>
      </c>
      <c r="M270" s="306">
        <f t="shared" ca="1" si="132"/>
        <v>1.0523404539189014</v>
      </c>
      <c r="N270" s="304">
        <f t="shared" ca="1" si="133"/>
        <v>60.294666620434342</v>
      </c>
      <c r="P270" s="310">
        <f t="shared" ca="1" si="134"/>
        <v>23</v>
      </c>
      <c r="Q270" s="304">
        <f t="shared" ca="1" si="135"/>
        <v>0</v>
      </c>
      <c r="R270" s="306">
        <f t="shared" ca="1" si="136"/>
        <v>0</v>
      </c>
      <c r="S270" s="307">
        <f t="shared" ca="1" si="137"/>
        <v>2.9792999999999985</v>
      </c>
      <c r="T270" s="304">
        <f t="shared" ca="1" si="117"/>
        <v>29.226932999999988</v>
      </c>
      <c r="U270" s="311">
        <f t="shared" ca="1" si="118"/>
        <v>0</v>
      </c>
      <c r="V270" s="306">
        <f t="shared" ca="1" si="119"/>
        <v>1.0627302359694648</v>
      </c>
      <c r="W270" s="304">
        <f t="shared" ca="1" si="120"/>
        <v>4.6934120550589276</v>
      </c>
      <c r="Y270" s="314" t="str">
        <f t="shared" ca="1" si="138"/>
        <v/>
      </c>
      <c r="Z270" s="315" t="str">
        <f t="shared" ca="1" si="139"/>
        <v/>
      </c>
      <c r="AA270" s="316" t="str">
        <f t="shared" ca="1" si="140"/>
        <v/>
      </c>
      <c r="AC270" s="310" t="e">
        <f t="shared" ca="1" si="141"/>
        <v>#N/A</v>
      </c>
      <c r="AD270" s="323" t="e">
        <f t="shared" ca="1" si="142"/>
        <v>#N/A</v>
      </c>
      <c r="AE270" s="324">
        <f t="shared" ca="1" si="121"/>
        <v>1418.6092527799356</v>
      </c>
      <c r="AG270" s="306">
        <f t="shared" ca="1" si="143"/>
        <v>-10.216258980381088</v>
      </c>
      <c r="AH270" s="304">
        <f t="shared" ca="1" si="144"/>
        <v>-1.6459198910024884</v>
      </c>
    </row>
    <row r="271" spans="1:34" x14ac:dyDescent="0.2">
      <c r="A271" s="347">
        <f t="shared" ca="1" si="122"/>
        <v>0.1</v>
      </c>
      <c r="B271" s="304">
        <f t="shared" ca="1" si="123"/>
        <v>11.899999999999935</v>
      </c>
      <c r="D271" s="306">
        <f t="shared" ca="1" si="124"/>
        <v>-0.78064349694255886</v>
      </c>
      <c r="E271" s="307">
        <f t="shared" ca="1" si="125"/>
        <v>-11.178317774122284</v>
      </c>
      <c r="F271" s="304">
        <f t="shared" ca="1" si="126"/>
        <v>11.205542937697258</v>
      </c>
      <c r="G271" s="306">
        <f t="shared" ca="1" si="127"/>
        <v>22.935012481374102</v>
      </c>
      <c r="H271" s="307">
        <f t="shared" ca="1" si="128"/>
        <v>39.219661826930931</v>
      </c>
      <c r="I271" s="304">
        <f t="shared" ca="1" si="129"/>
        <v>45.433431208082986</v>
      </c>
      <c r="J271" s="306">
        <f t="shared" ca="1" si="130"/>
        <v>366.60059057954942</v>
      </c>
      <c r="K271" s="307">
        <f t="shared" ca="1" si="131"/>
        <v>1422.5871105514993</v>
      </c>
      <c r="L271" s="304">
        <f t="shared" ca="1" si="116"/>
        <v>1469.0643553365994</v>
      </c>
      <c r="M271" s="306">
        <f t="shared" ca="1" si="132"/>
        <v>1.0416405456125137</v>
      </c>
      <c r="N271" s="304">
        <f t="shared" ca="1" si="133"/>
        <v>59.681607033301354</v>
      </c>
      <c r="P271" s="310">
        <f t="shared" ca="1" si="134"/>
        <v>23</v>
      </c>
      <c r="Q271" s="304">
        <f t="shared" ca="1" si="135"/>
        <v>0</v>
      </c>
      <c r="R271" s="306">
        <f t="shared" ca="1" si="136"/>
        <v>0</v>
      </c>
      <c r="S271" s="307">
        <f t="shared" ca="1" si="137"/>
        <v>2.9792999999999985</v>
      </c>
      <c r="T271" s="304">
        <f t="shared" ca="1" si="117"/>
        <v>29.226932999999988</v>
      </c>
      <c r="U271" s="311">
        <f t="shared" ca="1" si="118"/>
        <v>0</v>
      </c>
      <c r="V271" s="306">
        <f t="shared" ca="1" si="119"/>
        <v>1.062305438280398</v>
      </c>
      <c r="W271" s="304">
        <f t="shared" ca="1" si="120"/>
        <v>4.4902792191163323</v>
      </c>
      <c r="Y271" s="314" t="str">
        <f t="shared" ca="1" si="138"/>
        <v/>
      </c>
      <c r="Z271" s="315" t="str">
        <f t="shared" ca="1" si="139"/>
        <v/>
      </c>
      <c r="AA271" s="316" t="str">
        <f t="shared" ca="1" si="140"/>
        <v/>
      </c>
      <c r="AC271" s="310" t="e">
        <f t="shared" ca="1" si="141"/>
        <v>#N/A</v>
      </c>
      <c r="AD271" s="323" t="e">
        <f t="shared" ca="1" si="142"/>
        <v>#N/A</v>
      </c>
      <c r="AE271" s="324">
        <f t="shared" ca="1" si="121"/>
        <v>1422.5871105514993</v>
      </c>
      <c r="AG271" s="306">
        <f t="shared" ca="1" si="143"/>
        <v>-10.096163219321895</v>
      </c>
      <c r="AH271" s="304">
        <f t="shared" ca="1" si="144"/>
        <v>-1.5753405347091363</v>
      </c>
    </row>
    <row r="272" spans="1:34" x14ac:dyDescent="0.2">
      <c r="A272" s="347">
        <f t="shared" ca="1" si="122"/>
        <v>0.1</v>
      </c>
      <c r="B272" s="304">
        <f t="shared" ca="1" si="123"/>
        <v>11.999999999999934</v>
      </c>
      <c r="D272" s="306">
        <f t="shared" ca="1" si="124"/>
        <v>-0.76082111160691479</v>
      </c>
      <c r="E272" s="307">
        <f t="shared" ca="1" si="125"/>
        <v>-11.111030323495386</v>
      </c>
      <c r="F272" s="304">
        <f t="shared" ca="1" si="126"/>
        <v>11.13704824509173</v>
      </c>
      <c r="G272" s="306">
        <f t="shared" ca="1" si="127"/>
        <v>22.858930370213411</v>
      </c>
      <c r="H272" s="307">
        <f t="shared" ca="1" si="128"/>
        <v>38.108558794581391</v>
      </c>
      <c r="I272" s="304">
        <f t="shared" ca="1" si="129"/>
        <v>44.438642543065285</v>
      </c>
      <c r="J272" s="306">
        <f t="shared" ca="1" si="130"/>
        <v>368.89028772212879</v>
      </c>
      <c r="K272" s="307">
        <f t="shared" ca="1" si="131"/>
        <v>1426.4535215825749</v>
      </c>
      <c r="L272" s="304">
        <f t="shared" ca="1" si="116"/>
        <v>1473.3803628428893</v>
      </c>
      <c r="M272" s="306">
        <f t="shared" ca="1" si="132"/>
        <v>1.0304965570823823</v>
      </c>
      <c r="N272" s="304">
        <f t="shared" ca="1" si="133"/>
        <v>59.04310352358263</v>
      </c>
      <c r="P272" s="310">
        <f t="shared" ca="1" si="134"/>
        <v>23</v>
      </c>
      <c r="Q272" s="304">
        <f t="shared" ca="1" si="135"/>
        <v>0</v>
      </c>
      <c r="R272" s="306">
        <f t="shared" ca="1" si="136"/>
        <v>0</v>
      </c>
      <c r="S272" s="307">
        <f t="shared" ca="1" si="137"/>
        <v>2.9792999999999985</v>
      </c>
      <c r="T272" s="304">
        <f t="shared" ca="1" si="117"/>
        <v>29.226932999999988</v>
      </c>
      <c r="U272" s="311">
        <f t="shared" ca="1" si="118"/>
        <v>0</v>
      </c>
      <c r="V272" s="306">
        <f t="shared" ca="1" si="119"/>
        <v>1.0618926932141601</v>
      </c>
      <c r="W272" s="304">
        <f t="shared" ca="1" si="120"/>
        <v>4.2941288349520192</v>
      </c>
      <c r="Y272" s="314" t="str">
        <f t="shared" ca="1" si="138"/>
        <v/>
      </c>
      <c r="Z272" s="315" t="str">
        <f t="shared" ca="1" si="139"/>
        <v/>
      </c>
      <c r="AA272" s="316" t="str">
        <f t="shared" ca="1" si="140"/>
        <v/>
      </c>
      <c r="AC272" s="310">
        <f t="shared" ca="1" si="141"/>
        <v>11.999999999999934</v>
      </c>
      <c r="AD272" s="323">
        <f t="shared" ca="1" si="142"/>
        <v>368.89028772212879</v>
      </c>
      <c r="AE272" s="324">
        <f t="shared" ca="1" si="121"/>
        <v>1426.4535215825749</v>
      </c>
      <c r="AG272" s="306">
        <f t="shared" ca="1" si="143"/>
        <v>-9.9754802020418385</v>
      </c>
      <c r="AH272" s="304">
        <f t="shared" ca="1" si="144"/>
        <v>-1.507159137755961</v>
      </c>
    </row>
    <row r="273" spans="1:34" x14ac:dyDescent="0.2">
      <c r="A273" s="347">
        <f t="shared" ca="1" si="122"/>
        <v>0.1</v>
      </c>
      <c r="B273" s="304">
        <f t="shared" ca="1" si="123"/>
        <v>12.099999999999934</v>
      </c>
      <c r="D273" s="306">
        <f t="shared" ca="1" si="124"/>
        <v>-0.74140575736932279</v>
      </c>
      <c r="E273" s="307">
        <f t="shared" ca="1" si="125"/>
        <v>-11.046011678488972</v>
      </c>
      <c r="F273" s="304">
        <f t="shared" ca="1" si="126"/>
        <v>11.070865210017468</v>
      </c>
      <c r="G273" s="306">
        <f t="shared" ca="1" si="127"/>
        <v>22.784789794476477</v>
      </c>
      <c r="H273" s="307">
        <f t="shared" ca="1" si="128"/>
        <v>37.003957626732493</v>
      </c>
      <c r="I273" s="304">
        <f t="shared" ca="1" si="129"/>
        <v>43.456179376695019</v>
      </c>
      <c r="J273" s="306">
        <f t="shared" ca="1" si="130"/>
        <v>371.17247373036327</v>
      </c>
      <c r="K273" s="307">
        <f t="shared" ca="1" si="131"/>
        <v>1430.2091474036406</v>
      </c>
      <c r="L273" s="304">
        <f t="shared" ca="1" si="116"/>
        <v>1477.588308891271</v>
      </c>
      <c r="M273" s="306">
        <f t="shared" ca="1" si="132"/>
        <v>1.0188841474406827</v>
      </c>
      <c r="N273" s="304">
        <f t="shared" ca="1" si="133"/>
        <v>58.377761461136217</v>
      </c>
      <c r="P273" s="310">
        <f t="shared" ca="1" si="134"/>
        <v>23</v>
      </c>
      <c r="Q273" s="304">
        <f t="shared" ca="1" si="135"/>
        <v>0</v>
      </c>
      <c r="R273" s="306">
        <f t="shared" ca="1" si="136"/>
        <v>0</v>
      </c>
      <c r="S273" s="307">
        <f t="shared" ca="1" si="137"/>
        <v>2.9792999999999985</v>
      </c>
      <c r="T273" s="304">
        <f t="shared" ca="1" si="117"/>
        <v>29.226932999999988</v>
      </c>
      <c r="U273" s="311">
        <f t="shared" ca="1" si="118"/>
        <v>0</v>
      </c>
      <c r="V273" s="306">
        <f t="shared" ca="1" si="119"/>
        <v>1.0614919172259478</v>
      </c>
      <c r="W273" s="304">
        <f t="shared" ca="1" si="120"/>
        <v>4.1048060604135426</v>
      </c>
      <c r="Y273" s="314" t="str">
        <f t="shared" ca="1" si="138"/>
        <v/>
      </c>
      <c r="Z273" s="315" t="str">
        <f t="shared" ca="1" si="139"/>
        <v/>
      </c>
      <c r="AA273" s="316" t="str">
        <f t="shared" ca="1" si="140"/>
        <v/>
      </c>
      <c r="AC273" s="310" t="e">
        <f t="shared" ca="1" si="141"/>
        <v>#N/A</v>
      </c>
      <c r="AD273" s="323" t="e">
        <f t="shared" ca="1" si="142"/>
        <v>#N/A</v>
      </c>
      <c r="AE273" s="324">
        <f t="shared" ca="1" si="121"/>
        <v>1430.2091474036406</v>
      </c>
      <c r="AG273" s="306">
        <f t="shared" ca="1" si="143"/>
        <v>-9.8539312413683202</v>
      </c>
      <c r="AH273" s="304">
        <f t="shared" ca="1" si="144"/>
        <v>-1.4413213959493913</v>
      </c>
    </row>
    <row r="274" spans="1:34" x14ac:dyDescent="0.2">
      <c r="A274" s="347">
        <f t="shared" ca="1" si="122"/>
        <v>0.1</v>
      </c>
      <c r="B274" s="304">
        <f t="shared" ca="1" si="123"/>
        <v>12.199999999999934</v>
      </c>
      <c r="D274" s="306">
        <f t="shared" ca="1" si="124"/>
        <v>-0.72239027635045816</v>
      </c>
      <c r="E274" s="307">
        <f t="shared" ca="1" si="125"/>
        <v>-10.98320806630905</v>
      </c>
      <c r="F274" s="304">
        <f t="shared" ca="1" si="126"/>
        <v>11.00693904494805</v>
      </c>
      <c r="G274" s="306">
        <f t="shared" ca="1" si="127"/>
        <v>22.712550766841431</v>
      </c>
      <c r="H274" s="307">
        <f t="shared" ca="1" si="128"/>
        <v>35.905636820101591</v>
      </c>
      <c r="I274" s="304">
        <f t="shared" ca="1" si="129"/>
        <v>42.486170900581101</v>
      </c>
      <c r="J274" s="306">
        <f t="shared" ca="1" si="130"/>
        <v>373.44734075842916</v>
      </c>
      <c r="K274" s="307">
        <f t="shared" ca="1" si="131"/>
        <v>1433.8546271259822</v>
      </c>
      <c r="L274" s="304">
        <f t="shared" ca="1" si="116"/>
        <v>1481.6889039370349</v>
      </c>
      <c r="M274" s="306">
        <f t="shared" ca="1" si="132"/>
        <v>1.006777454983881</v>
      </c>
      <c r="N274" s="304">
        <f t="shared" ca="1" si="133"/>
        <v>57.684099079498615</v>
      </c>
      <c r="P274" s="310">
        <f t="shared" ca="1" si="134"/>
        <v>23</v>
      </c>
      <c r="Q274" s="304">
        <f t="shared" ca="1" si="135"/>
        <v>0</v>
      </c>
      <c r="R274" s="306">
        <f t="shared" ca="1" si="136"/>
        <v>0</v>
      </c>
      <c r="S274" s="307">
        <f t="shared" ca="1" si="137"/>
        <v>2.9792999999999985</v>
      </c>
      <c r="T274" s="304">
        <f t="shared" ca="1" si="117"/>
        <v>29.226932999999988</v>
      </c>
      <c r="U274" s="311">
        <f t="shared" ca="1" si="118"/>
        <v>0</v>
      </c>
      <c r="V274" s="306">
        <f t="shared" ca="1" si="119"/>
        <v>1.061103029642984</v>
      </c>
      <c r="W274" s="304">
        <f t="shared" ca="1" si="120"/>
        <v>3.9221627198064217</v>
      </c>
      <c r="Y274" s="314" t="str">
        <f t="shared" ca="1" si="138"/>
        <v/>
      </c>
      <c r="Z274" s="315" t="str">
        <f t="shared" ca="1" si="139"/>
        <v/>
      </c>
      <c r="AA274" s="316" t="str">
        <f t="shared" ca="1" si="140"/>
        <v/>
      </c>
      <c r="AC274" s="310" t="e">
        <f t="shared" ca="1" si="141"/>
        <v>#N/A</v>
      </c>
      <c r="AD274" s="323" t="e">
        <f t="shared" ca="1" si="142"/>
        <v>#N/A</v>
      </c>
      <c r="AE274" s="324">
        <f t="shared" ca="1" si="121"/>
        <v>1433.8546271259822</v>
      </c>
      <c r="AG274" s="306">
        <f t="shared" ca="1" si="143"/>
        <v>-9.73122079651327</v>
      </c>
      <c r="AH274" s="304">
        <f t="shared" ca="1" si="144"/>
        <v>-1.3777753366272429</v>
      </c>
    </row>
    <row r="275" spans="1:34" x14ac:dyDescent="0.2">
      <c r="A275" s="347">
        <f t="shared" ca="1" si="122"/>
        <v>0.1</v>
      </c>
      <c r="B275" s="304">
        <f t="shared" ca="1" si="123"/>
        <v>12.299999999999933</v>
      </c>
      <c r="D275" s="306">
        <f t="shared" ca="1" si="124"/>
        <v>-0.7037682824957916</v>
      </c>
      <c r="E275" s="307">
        <f t="shared" ca="1" si="125"/>
        <v>-10.922567611458758</v>
      </c>
      <c r="F275" s="304">
        <f t="shared" ca="1" si="126"/>
        <v>10.945216901566408</v>
      </c>
      <c r="G275" s="306">
        <f t="shared" ca="1" si="127"/>
        <v>22.642173938591853</v>
      </c>
      <c r="H275" s="307">
        <f t="shared" ca="1" si="128"/>
        <v>34.813380058955715</v>
      </c>
      <c r="I275" s="304">
        <f t="shared" ca="1" si="129"/>
        <v>41.528778838231489</v>
      </c>
      <c r="J275" s="306">
        <f t="shared" ca="1" si="130"/>
        <v>375.71507699370085</v>
      </c>
      <c r="K275" s="307">
        <f t="shared" ca="1" si="131"/>
        <v>1437.3905779699351</v>
      </c>
      <c r="L275" s="304">
        <f t="shared" ca="1" si="116"/>
        <v>1485.6828371887207</v>
      </c>
      <c r="M275" s="306">
        <f t="shared" ca="1" si="132"/>
        <v>0.99414901486235963</v>
      </c>
      <c r="N275" s="304">
        <f t="shared" ca="1" si="133"/>
        <v>56.960542758701756</v>
      </c>
      <c r="P275" s="310">
        <f t="shared" ca="1" si="134"/>
        <v>23</v>
      </c>
      <c r="Q275" s="304">
        <f t="shared" ca="1" si="135"/>
        <v>0</v>
      </c>
      <c r="R275" s="306">
        <f t="shared" ca="1" si="136"/>
        <v>0</v>
      </c>
      <c r="S275" s="307">
        <f t="shared" ca="1" si="137"/>
        <v>2.9792999999999985</v>
      </c>
      <c r="T275" s="304">
        <f t="shared" ca="1" si="117"/>
        <v>29.226932999999988</v>
      </c>
      <c r="U275" s="311">
        <f t="shared" ca="1" si="118"/>
        <v>0</v>
      </c>
      <c r="V275" s="306">
        <f t="shared" ca="1" si="119"/>
        <v>1.0607259525958674</v>
      </c>
      <c r="W275" s="304">
        <f t="shared" ca="1" si="120"/>
        <v>3.7460570385336509</v>
      </c>
      <c r="Y275" s="314" t="str">
        <f t="shared" ca="1" si="138"/>
        <v/>
      </c>
      <c r="Z275" s="315" t="str">
        <f t="shared" ca="1" si="139"/>
        <v/>
      </c>
      <c r="AA275" s="316" t="str">
        <f t="shared" ca="1" si="140"/>
        <v/>
      </c>
      <c r="AC275" s="310" t="e">
        <f t="shared" ca="1" si="141"/>
        <v>#N/A</v>
      </c>
      <c r="AD275" s="323" t="e">
        <f t="shared" ca="1" si="142"/>
        <v>#N/A</v>
      </c>
      <c r="AE275" s="324">
        <f t="shared" ca="1" si="121"/>
        <v>1437.3905779699351</v>
      </c>
      <c r="AG275" s="306">
        <f t="shared" ca="1" si="143"/>
        <v>-9.6070347125289768</v>
      </c>
      <c r="AH275" s="304">
        <f t="shared" ca="1" si="144"/>
        <v>-1.3164712247193715</v>
      </c>
    </row>
    <row r="276" spans="1:34" x14ac:dyDescent="0.2">
      <c r="A276" s="347">
        <f t="shared" ca="1" si="122"/>
        <v>0.1</v>
      </c>
      <c r="B276" s="304">
        <f t="shared" ca="1" si="123"/>
        <v>12.399999999999933</v>
      </c>
      <c r="D276" s="306">
        <f t="shared" ca="1" si="124"/>
        <v>-0.6855341762307936</v>
      </c>
      <c r="E276" s="307">
        <f t="shared" ca="1" si="125"/>
        <v>-10.864040212095023</v>
      </c>
      <c r="F276" s="304">
        <f t="shared" ca="1" si="126"/>
        <v>10.885647745393845</v>
      </c>
      <c r="G276" s="306">
        <f t="shared" ca="1" si="127"/>
        <v>22.573620520968774</v>
      </c>
      <c r="H276" s="307">
        <f t="shared" ca="1" si="128"/>
        <v>33.726976037746212</v>
      </c>
      <c r="I276" s="304">
        <f t="shared" ca="1" si="129"/>
        <v>40.58419958648205</v>
      </c>
      <c r="J276" s="306">
        <f t="shared" ca="1" si="130"/>
        <v>377.97586671667887</v>
      </c>
      <c r="K276" s="307">
        <f t="shared" ca="1" si="131"/>
        <v>1440.8175957747701</v>
      </c>
      <c r="L276" s="304">
        <f t="shared" ca="1" si="116"/>
        <v>1489.5707771416614</v>
      </c>
      <c r="M276" s="306">
        <f t="shared" ca="1" si="132"/>
        <v>0.98096967806901736</v>
      </c>
      <c r="N276" s="304">
        <f t="shared" ca="1" si="133"/>
        <v>56.205422383661769</v>
      </c>
      <c r="P276" s="310">
        <f t="shared" ca="1" si="134"/>
        <v>23</v>
      </c>
      <c r="Q276" s="304">
        <f t="shared" ca="1" si="135"/>
        <v>0</v>
      </c>
      <c r="R276" s="306">
        <f t="shared" ca="1" si="136"/>
        <v>0</v>
      </c>
      <c r="S276" s="307">
        <f t="shared" ca="1" si="137"/>
        <v>2.9792999999999985</v>
      </c>
      <c r="T276" s="304">
        <f t="shared" ca="1" si="117"/>
        <v>29.226932999999988</v>
      </c>
      <c r="U276" s="311">
        <f t="shared" ca="1" si="118"/>
        <v>0</v>
      </c>
      <c r="V276" s="306">
        <f t="shared" ca="1" si="119"/>
        <v>1.0603606109524562</v>
      </c>
      <c r="W276" s="304">
        <f t="shared" ca="1" si="120"/>
        <v>3.5763533913566334</v>
      </c>
      <c r="Y276" s="314" t="str">
        <f t="shared" ca="1" si="138"/>
        <v/>
      </c>
      <c r="Z276" s="315" t="str">
        <f t="shared" ca="1" si="139"/>
        <v/>
      </c>
      <c r="AA276" s="316" t="str">
        <f t="shared" ca="1" si="140"/>
        <v/>
      </c>
      <c r="AC276" s="310" t="e">
        <f t="shared" ca="1" si="141"/>
        <v>#N/A</v>
      </c>
      <c r="AD276" s="323" t="e">
        <f t="shared" ca="1" si="142"/>
        <v>#N/A</v>
      </c>
      <c r="AE276" s="324">
        <f t="shared" ca="1" si="121"/>
        <v>1440.8175957747701</v>
      </c>
      <c r="AG276" s="306">
        <f t="shared" ca="1" si="143"/>
        <v>-9.4810383534811429</v>
      </c>
      <c r="AH276" s="304">
        <f t="shared" ca="1" si="144"/>
        <v>-1.2573614736796068</v>
      </c>
    </row>
    <row r="277" spans="1:34" x14ac:dyDescent="0.2">
      <c r="A277" s="347">
        <f t="shared" ca="1" si="122"/>
        <v>0.1</v>
      </c>
      <c r="B277" s="304">
        <f t="shared" ca="1" si="123"/>
        <v>12.499999999999932</v>
      </c>
      <c r="D277" s="306">
        <f t="shared" ca="1" si="124"/>
        <v>-0.667683162734233</v>
      </c>
      <c r="E277" s="307">
        <f t="shared" ca="1" si="125"/>
        <v>-10.807577416056326</v>
      </c>
      <c r="F277" s="304">
        <f t="shared" ca="1" si="126"/>
        <v>10.828182230173701</v>
      </c>
      <c r="G277" s="306">
        <f t="shared" ca="1" si="127"/>
        <v>22.506852204695349</v>
      </c>
      <c r="H277" s="307">
        <f t="shared" ca="1" si="128"/>
        <v>32.646218296140582</v>
      </c>
      <c r="I277" s="304">
        <f t="shared" ca="1" si="129"/>
        <v>39.6526665585464</v>
      </c>
      <c r="J277" s="306">
        <f t="shared" ca="1" si="130"/>
        <v>380.22989035296206</v>
      </c>
      <c r="K277" s="307">
        <f t="shared" ca="1" si="131"/>
        <v>1444.1362554914645</v>
      </c>
      <c r="L277" s="304">
        <f t="shared" ca="1" si="116"/>
        <v>1493.3533720934017</v>
      </c>
      <c r="M277" s="306">
        <f t="shared" ca="1" si="132"/>
        <v>0.9672085336935331</v>
      </c>
      <c r="N277" s="304">
        <f t="shared" ca="1" si="133"/>
        <v>55.416966889676324</v>
      </c>
      <c r="P277" s="310">
        <f t="shared" ca="1" si="134"/>
        <v>23</v>
      </c>
      <c r="Q277" s="304">
        <f t="shared" ca="1" si="135"/>
        <v>0</v>
      </c>
      <c r="R277" s="306">
        <f t="shared" ca="1" si="136"/>
        <v>0</v>
      </c>
      <c r="S277" s="307">
        <f t="shared" ca="1" si="137"/>
        <v>2.9792999999999985</v>
      </c>
      <c r="T277" s="304">
        <f t="shared" ca="1" si="117"/>
        <v>29.226932999999988</v>
      </c>
      <c r="U277" s="311">
        <f t="shared" ca="1" si="118"/>
        <v>0</v>
      </c>
      <c r="V277" s="306">
        <f t="shared" ca="1" si="119"/>
        <v>1.0600069322541248</v>
      </c>
      <c r="W277" s="304">
        <f t="shared" ca="1" si="120"/>
        <v>3.4129220634332356</v>
      </c>
      <c r="Y277" s="314" t="str">
        <f t="shared" ca="1" si="138"/>
        <v/>
      </c>
      <c r="Z277" s="315" t="str">
        <f t="shared" ca="1" si="139"/>
        <v/>
      </c>
      <c r="AA277" s="316" t="str">
        <f t="shared" ca="1" si="140"/>
        <v/>
      </c>
      <c r="AC277" s="310" t="e">
        <f t="shared" ca="1" si="141"/>
        <v>#N/A</v>
      </c>
      <c r="AD277" s="323" t="e">
        <f t="shared" ca="1" si="142"/>
        <v>#N/A</v>
      </c>
      <c r="AE277" s="324">
        <f t="shared" ca="1" si="121"/>
        <v>1444.1362554914645</v>
      </c>
      <c r="AG277" s="306">
        <f t="shared" ca="1" si="143"/>
        <v>-9.3528746346805711</v>
      </c>
      <c r="AH277" s="304">
        <f t="shared" ca="1" si="144"/>
        <v>-1.2004005609897075</v>
      </c>
    </row>
    <row r="278" spans="1:34" x14ac:dyDescent="0.2">
      <c r="A278" s="347">
        <f t="shared" ca="1" si="122"/>
        <v>0.1</v>
      </c>
      <c r="B278" s="304">
        <f t="shared" ca="1" si="123"/>
        <v>12.599999999999932</v>
      </c>
      <c r="D278" s="306">
        <f t="shared" ca="1" si="124"/>
        <v>-0.65021127392081901</v>
      </c>
      <c r="E278" s="307">
        <f t="shared" ca="1" si="125"/>
        <v>-10.753132295621615</v>
      </c>
      <c r="F278" s="304">
        <f t="shared" ca="1" si="126"/>
        <v>10.772772571064253</v>
      </c>
      <c r="G278" s="306">
        <f t="shared" ca="1" si="127"/>
        <v>22.441831077303267</v>
      </c>
      <c r="H278" s="307">
        <f t="shared" ca="1" si="128"/>
        <v>31.570905066578419</v>
      </c>
      <c r="I278" s="304">
        <f t="shared" ca="1" si="129"/>
        <v>38.734452736873948</v>
      </c>
      <c r="J278" s="306">
        <f t="shared" ca="1" si="130"/>
        <v>382.47732451706202</v>
      </c>
      <c r="K278" s="307">
        <f t="shared" ca="1" si="131"/>
        <v>1447.3471116596004</v>
      </c>
      <c r="L278" s="304">
        <f t="shared" ca="1" si="116"/>
        <v>1497.0312506421226</v>
      </c>
      <c r="M278" s="306">
        <f t="shared" ca="1" si="132"/>
        <v>0.95283283694911691</v>
      </c>
      <c r="N278" s="304">
        <f t="shared" ca="1" si="133"/>
        <v>54.59330013866132</v>
      </c>
      <c r="P278" s="310">
        <f t="shared" ca="1" si="134"/>
        <v>23</v>
      </c>
      <c r="Q278" s="304">
        <f t="shared" ca="1" si="135"/>
        <v>0</v>
      </c>
      <c r="R278" s="306">
        <f t="shared" ca="1" si="136"/>
        <v>0</v>
      </c>
      <c r="S278" s="307">
        <f t="shared" ca="1" si="137"/>
        <v>2.9792999999999985</v>
      </c>
      <c r="T278" s="304">
        <f t="shared" ca="1" si="117"/>
        <v>29.226932999999988</v>
      </c>
      <c r="U278" s="311">
        <f t="shared" ca="1" si="118"/>
        <v>0</v>
      </c>
      <c r="V278" s="306">
        <f t="shared" ca="1" si="119"/>
        <v>1.0596648466542382</v>
      </c>
      <c r="W278" s="304">
        <f t="shared" ca="1" si="120"/>
        <v>3.2556390233309211</v>
      </c>
      <c r="Y278" s="314" t="str">
        <f t="shared" ca="1" si="138"/>
        <v/>
      </c>
      <c r="Z278" s="315" t="str">
        <f t="shared" ca="1" si="139"/>
        <v/>
      </c>
      <c r="AA278" s="316" t="str">
        <f t="shared" ca="1" si="140"/>
        <v/>
      </c>
      <c r="AC278" s="310" t="e">
        <f t="shared" ca="1" si="141"/>
        <v>#N/A</v>
      </c>
      <c r="AD278" s="323" t="e">
        <f t="shared" ca="1" si="142"/>
        <v>#N/A</v>
      </c>
      <c r="AE278" s="324">
        <f t="shared" ca="1" si="121"/>
        <v>1447.3471116596004</v>
      </c>
      <c r="AG278" s="306">
        <f t="shared" ca="1" si="143"/>
        <v>-9.2221619646734396</v>
      </c>
      <c r="AH278" s="304">
        <f t="shared" ca="1" si="144"/>
        <v>-1.1455449479519475</v>
      </c>
    </row>
    <row r="279" spans="1:34" x14ac:dyDescent="0.2">
      <c r="A279" s="347">
        <f t="shared" ca="1" si="122"/>
        <v>0.1</v>
      </c>
      <c r="B279" s="304">
        <f t="shared" ca="1" si="123"/>
        <v>12.699999999999932</v>
      </c>
      <c r="D279" s="306">
        <f t="shared" ca="1" si="124"/>
        <v>-0.63311539420415597</v>
      </c>
      <c r="E279" s="307">
        <f t="shared" ca="1" si="125"/>
        <v>-10.700659319988548</v>
      </c>
      <c r="F279" s="304">
        <f t="shared" ca="1" si="126"/>
        <v>10.719372415623782</v>
      </c>
      <c r="G279" s="306">
        <f t="shared" ca="1" si="127"/>
        <v>22.378519537882852</v>
      </c>
      <c r="H279" s="307">
        <f t="shared" ca="1" si="128"/>
        <v>30.500839134579564</v>
      </c>
      <c r="I279" s="304">
        <f t="shared" ca="1" si="129"/>
        <v>37.829873441777529</v>
      </c>
      <c r="J279" s="306">
        <f t="shared" ca="1" si="130"/>
        <v>384.7183420478213</v>
      </c>
      <c r="K279" s="307">
        <f t="shared" ca="1" si="131"/>
        <v>1450.4506988696583</v>
      </c>
      <c r="L279" s="304">
        <f t="shared" ca="1" si="116"/>
        <v>1500.6050221692265</v>
      </c>
      <c r="M279" s="306">
        <f t="shared" ca="1" si="132"/>
        <v>0.93780794616046781</v>
      </c>
      <c r="N279" s="304">
        <f t="shared" ca="1" si="133"/>
        <v>53.732437308826739</v>
      </c>
      <c r="P279" s="310">
        <f t="shared" ca="1" si="134"/>
        <v>23</v>
      </c>
      <c r="Q279" s="304">
        <f t="shared" ca="1" si="135"/>
        <v>0</v>
      </c>
      <c r="R279" s="306">
        <f t="shared" ca="1" si="136"/>
        <v>0</v>
      </c>
      <c r="S279" s="307">
        <f t="shared" ca="1" si="137"/>
        <v>2.9792999999999985</v>
      </c>
      <c r="T279" s="304">
        <f t="shared" ca="1" si="117"/>
        <v>29.226932999999988</v>
      </c>
      <c r="U279" s="311">
        <f t="shared" ca="1" si="118"/>
        <v>0</v>
      </c>
      <c r="V279" s="306">
        <f t="shared" ca="1" si="119"/>
        <v>1.0593342868586941</v>
      </c>
      <c r="W279" s="304">
        <f t="shared" ca="1" si="120"/>
        <v>3.1043857072503673</v>
      </c>
      <c r="Y279" s="314" t="str">
        <f t="shared" ca="1" si="138"/>
        <v/>
      </c>
      <c r="Z279" s="315" t="str">
        <f t="shared" ca="1" si="139"/>
        <v/>
      </c>
      <c r="AA279" s="316" t="str">
        <f t="shared" ca="1" si="140"/>
        <v/>
      </c>
      <c r="AC279" s="310" t="e">
        <f t="shared" ca="1" si="141"/>
        <v>#N/A</v>
      </c>
      <c r="AD279" s="323" t="e">
        <f t="shared" ca="1" si="142"/>
        <v>#N/A</v>
      </c>
      <c r="AE279" s="324">
        <f t="shared" ca="1" si="121"/>
        <v>1450.4506988696583</v>
      </c>
      <c r="AG279" s="306">
        <f t="shared" ca="1" si="143"/>
        <v>-9.0884921148039712</v>
      </c>
      <c r="AH279" s="304">
        <f t="shared" ca="1" si="144"/>
        <v>-1.0927530035011321</v>
      </c>
    </row>
    <row r="280" spans="1:34" x14ac:dyDescent="0.2">
      <c r="A280" s="347">
        <f t="shared" ca="1" si="122"/>
        <v>0.1</v>
      </c>
      <c r="B280" s="304">
        <f t="shared" ca="1" si="123"/>
        <v>12.799999999999931</v>
      </c>
      <c r="D280" s="306">
        <f t="shared" ca="1" si="124"/>
        <v>-0.6163932900778214</v>
      </c>
      <c r="E280" s="307">
        <f t="shared" ca="1" si="125"/>
        <v>-10.650114224378068</v>
      </c>
      <c r="F280" s="304">
        <f t="shared" ca="1" si="126"/>
        <v>10.667936711489856</v>
      </c>
      <c r="G280" s="306">
        <f t="shared" ca="1" si="127"/>
        <v>22.31688020887507</v>
      </c>
      <c r="H280" s="307">
        <f t="shared" ca="1" si="128"/>
        <v>29.435827712141759</v>
      </c>
      <c r="I280" s="304">
        <f t="shared" ca="1" si="129"/>
        <v>36.939289318504393</v>
      </c>
      <c r="J280" s="306">
        <f t="shared" ca="1" si="130"/>
        <v>386.95311203515917</v>
      </c>
      <c r="K280" s="307">
        <f t="shared" ca="1" si="131"/>
        <v>1453.4475322119943</v>
      </c>
      <c r="L280" s="304">
        <f t="shared" ca="1" si="116"/>
        <v>1504.0752773072334</v>
      </c>
      <c r="M280" s="306">
        <f t="shared" ca="1" si="132"/>
        <v>0.92209727272463538</v>
      </c>
      <c r="N280" s="304">
        <f t="shared" ca="1" si="133"/>
        <v>52.832282027645249</v>
      </c>
      <c r="P280" s="310">
        <f t="shared" ca="1" si="134"/>
        <v>23</v>
      </c>
      <c r="Q280" s="304">
        <f t="shared" ca="1" si="135"/>
        <v>0</v>
      </c>
      <c r="R280" s="306">
        <f t="shared" ca="1" si="136"/>
        <v>0</v>
      </c>
      <c r="S280" s="307">
        <f t="shared" ca="1" si="137"/>
        <v>2.9792999999999985</v>
      </c>
      <c r="T280" s="304">
        <f t="shared" ca="1" si="117"/>
        <v>29.226932999999988</v>
      </c>
      <c r="U280" s="311">
        <f t="shared" ca="1" si="118"/>
        <v>0</v>
      </c>
      <c r="V280" s="306">
        <f t="shared" ca="1" si="119"/>
        <v>1.059015188068366</v>
      </c>
      <c r="W280" s="304">
        <f t="shared" ca="1" si="120"/>
        <v>2.9590488137276836</v>
      </c>
      <c r="Y280" s="314" t="str">
        <f t="shared" ca="1" si="138"/>
        <v/>
      </c>
      <c r="Z280" s="315" t="str">
        <f t="shared" ca="1" si="139"/>
        <v/>
      </c>
      <c r="AA280" s="316" t="str">
        <f t="shared" ca="1" si="140"/>
        <v/>
      </c>
      <c r="AC280" s="310" t="e">
        <f t="shared" ca="1" si="141"/>
        <v>#N/A</v>
      </c>
      <c r="AD280" s="323" t="e">
        <f t="shared" ca="1" si="142"/>
        <v>#N/A</v>
      </c>
      <c r="AE280" s="324">
        <f t="shared" ca="1" si="121"/>
        <v>1453.4475322119943</v>
      </c>
      <c r="AG280" s="306">
        <f t="shared" ca="1" si="143"/>
        <v>-8.9514280434708251</v>
      </c>
      <c r="AH280" s="304">
        <f t="shared" ca="1" si="144"/>
        <v>-1.0419849317794008</v>
      </c>
    </row>
    <row r="281" spans="1:34" x14ac:dyDescent="0.2">
      <c r="A281" s="347">
        <f t="shared" ca="1" si="122"/>
        <v>0.1</v>
      </c>
      <c r="B281" s="304">
        <f t="shared" ca="1" si="123"/>
        <v>12.899999999999931</v>
      </c>
      <c r="D281" s="306">
        <f t="shared" ca="1" si="124"/>
        <v>-0.6000436435026516</v>
      </c>
      <c r="E281" s="307">
        <f t="shared" ca="1" si="125"/>
        <v>-10.601453874582598</v>
      </c>
      <c r="F281" s="304">
        <f t="shared" ca="1" si="126"/>
        <v>10.618421569565333</v>
      </c>
      <c r="G281" s="306">
        <f t="shared" ca="1" si="127"/>
        <v>22.256875844524803</v>
      </c>
      <c r="H281" s="307">
        <f t="shared" ca="1" si="128"/>
        <v>28.375682324683499</v>
      </c>
      <c r="I281" s="304">
        <f t="shared" ca="1" si="129"/>
        <v>36.063109540775145</v>
      </c>
      <c r="J281" s="306">
        <f t="shared" ca="1" si="130"/>
        <v>389.18179983782915</v>
      </c>
      <c r="K281" s="307">
        <f t="shared" ca="1" si="131"/>
        <v>1456.3381077138356</v>
      </c>
      <c r="L281" s="304">
        <f t="shared" ca="1" si="116"/>
        <v>1507.4425883941742</v>
      </c>
      <c r="M281" s="306">
        <f t="shared" ca="1" si="132"/>
        <v>0.90566224904022707</v>
      </c>
      <c r="N281" s="304">
        <f t="shared" ca="1" si="133"/>
        <v>51.890624534331103</v>
      </c>
      <c r="P281" s="310">
        <f t="shared" ca="1" si="134"/>
        <v>23</v>
      </c>
      <c r="Q281" s="304">
        <f t="shared" ca="1" si="135"/>
        <v>0</v>
      </c>
      <c r="R281" s="306">
        <f t="shared" ca="1" si="136"/>
        <v>0</v>
      </c>
      <c r="S281" s="307">
        <f t="shared" ca="1" si="137"/>
        <v>2.9792999999999985</v>
      </c>
      <c r="T281" s="304">
        <f t="shared" ca="1" si="117"/>
        <v>29.226932999999988</v>
      </c>
      <c r="U281" s="311">
        <f t="shared" ca="1" si="118"/>
        <v>0</v>
      </c>
      <c r="V281" s="306">
        <f t="shared" ca="1" si="119"/>
        <v>1.0587074879232936</v>
      </c>
      <c r="W281" s="304">
        <f t="shared" ca="1" si="120"/>
        <v>2.8195201081114112</v>
      </c>
      <c r="Y281" s="314" t="str">
        <f t="shared" ca="1" si="138"/>
        <v/>
      </c>
      <c r="Z281" s="315" t="str">
        <f t="shared" ca="1" si="139"/>
        <v/>
      </c>
      <c r="AA281" s="316" t="str">
        <f t="shared" ca="1" si="140"/>
        <v/>
      </c>
      <c r="AC281" s="310" t="e">
        <f t="shared" ca="1" si="141"/>
        <v>#N/A</v>
      </c>
      <c r="AD281" s="323" t="e">
        <f t="shared" ca="1" si="142"/>
        <v>#N/A</v>
      </c>
      <c r="AE281" s="324">
        <f t="shared" ca="1" si="121"/>
        <v>1456.3381077138356</v>
      </c>
      <c r="AG281" s="306">
        <f t="shared" ca="1" si="143"/>
        <v>-8.8105017142152686</v>
      </c>
      <c r="AH281" s="304">
        <f t="shared" ca="1" si="144"/>
        <v>-0.99320270322816939</v>
      </c>
    </row>
    <row r="282" spans="1:34" x14ac:dyDescent="0.2">
      <c r="A282" s="347">
        <f t="shared" ca="1" si="122"/>
        <v>0.1</v>
      </c>
      <c r="B282" s="304">
        <f t="shared" ca="1" si="123"/>
        <v>12.999999999999931</v>
      </c>
      <c r="D282" s="306">
        <f t="shared" ca="1" si="124"/>
        <v>-0.58406608901745427</v>
      </c>
      <c r="E282" s="307">
        <f t="shared" ca="1" si="125"/>
        <v>-10.554636125678737</v>
      </c>
      <c r="F282" s="304">
        <f t="shared" ca="1" si="126"/>
        <v>10.570784121427454</v>
      </c>
      <c r="G282" s="306">
        <f t="shared" ca="1" si="127"/>
        <v>22.198469235623058</v>
      </c>
      <c r="H282" s="307">
        <f t="shared" ca="1" si="128"/>
        <v>27.320218712115626</v>
      </c>
      <c r="I282" s="304">
        <f t="shared" ca="1" si="129"/>
        <v>35.201795222441937</v>
      </c>
      <c r="J282" s="306">
        <f t="shared" ca="1" si="130"/>
        <v>391.40456709183655</v>
      </c>
      <c r="K282" s="307">
        <f t="shared" ca="1" si="131"/>
        <v>1459.1229027656755</v>
      </c>
      <c r="L282" s="304">
        <f t="shared" ca="1" si="116"/>
        <v>1510.7075099156948</v>
      </c>
      <c r="M282" s="306">
        <f t="shared" ca="1" si="132"/>
        <v>0.88846232056332186</v>
      </c>
      <c r="N282" s="304">
        <f t="shared" ca="1" si="133"/>
        <v>50.905141224677557</v>
      </c>
      <c r="P282" s="310">
        <f t="shared" ca="1" si="134"/>
        <v>23</v>
      </c>
      <c r="Q282" s="304">
        <f t="shared" ca="1" si="135"/>
        <v>0</v>
      </c>
      <c r="R282" s="306">
        <f t="shared" ca="1" si="136"/>
        <v>0</v>
      </c>
      <c r="S282" s="307">
        <f t="shared" ca="1" si="137"/>
        <v>2.9792999999999985</v>
      </c>
      <c r="T282" s="304">
        <f t="shared" ca="1" si="117"/>
        <v>29.226932999999988</v>
      </c>
      <c r="U282" s="311">
        <f t="shared" ca="1" si="118"/>
        <v>0</v>
      </c>
      <c r="V282" s="306">
        <f t="shared" ca="1" si="119"/>
        <v>1.0584111264484548</v>
      </c>
      <c r="W282" s="304">
        <f t="shared" ca="1" si="120"/>
        <v>2.6856962361340218</v>
      </c>
      <c r="Y282" s="314" t="str">
        <f t="shared" ca="1" si="138"/>
        <v/>
      </c>
      <c r="Z282" s="315" t="str">
        <f t="shared" ca="1" si="139"/>
        <v/>
      </c>
      <c r="AA282" s="316" t="str">
        <f t="shared" ca="1" si="140"/>
        <v/>
      </c>
      <c r="AC282" s="310">
        <f t="shared" ca="1" si="141"/>
        <v>12.999999999999931</v>
      </c>
      <c r="AD282" s="323">
        <f t="shared" ca="1" si="142"/>
        <v>391.40456709183655</v>
      </c>
      <c r="AE282" s="324">
        <f t="shared" ca="1" si="121"/>
        <v>1459.1229027656755</v>
      </c>
      <c r="AG282" s="306">
        <f t="shared" ca="1" si="143"/>
        <v>-8.6652119620972066</v>
      </c>
      <c r="AH282" s="304">
        <f t="shared" ca="1" si="144"/>
        <v>-0.94636998896096824</v>
      </c>
    </row>
    <row r="283" spans="1:34" x14ac:dyDescent="0.2">
      <c r="A283" s="347">
        <f t="shared" ca="1" si="122"/>
        <v>0.1</v>
      </c>
      <c r="B283" s="304">
        <f t="shared" ca="1" si="123"/>
        <v>13.09999999999993</v>
      </c>
      <c r="D283" s="306">
        <f t="shared" ca="1" si="124"/>
        <v>-0.5684612543929447</v>
      </c>
      <c r="E283" s="307">
        <f t="shared" ca="1" si="125"/>
        <v>-10.509619673524888</v>
      </c>
      <c r="F283" s="304">
        <f t="shared" ca="1" si="126"/>
        <v>10.524982369576083</v>
      </c>
      <c r="G283" s="306">
        <f t="shared" ca="1" si="127"/>
        <v>22.141623110183765</v>
      </c>
      <c r="H283" s="307">
        <f t="shared" ca="1" si="128"/>
        <v>26.269256744763137</v>
      </c>
      <c r="I283" s="304">
        <f t="shared" ca="1" si="129"/>
        <v>34.355863020388639</v>
      </c>
      <c r="J283" s="306">
        <f t="shared" ca="1" si="130"/>
        <v>393.6215717091269</v>
      </c>
      <c r="K283" s="307">
        <f t="shared" ca="1" si="131"/>
        <v>1461.8023765385194</v>
      </c>
      <c r="L283" s="304">
        <f t="shared" ca="1" si="116"/>
        <v>1513.8705789361343</v>
      </c>
      <c r="M283" s="306">
        <f t="shared" ca="1" si="132"/>
        <v>0.87045496950522216</v>
      </c>
      <c r="N283" s="304">
        <f t="shared" ca="1" si="133"/>
        <v>49.873396008838007</v>
      </c>
      <c r="P283" s="310">
        <f t="shared" ca="1" si="134"/>
        <v>23</v>
      </c>
      <c r="Q283" s="304">
        <f t="shared" ca="1" si="135"/>
        <v>0</v>
      </c>
      <c r="R283" s="306">
        <f t="shared" ca="1" si="136"/>
        <v>0</v>
      </c>
      <c r="S283" s="307">
        <f t="shared" ca="1" si="137"/>
        <v>2.9792999999999985</v>
      </c>
      <c r="T283" s="304">
        <f t="shared" ca="1" si="117"/>
        <v>29.226932999999988</v>
      </c>
      <c r="U283" s="311">
        <f t="shared" ca="1" si="118"/>
        <v>0</v>
      </c>
      <c r="V283" s="306">
        <f t="shared" ca="1" si="119"/>
        <v>1.0581260460009416</v>
      </c>
      <c r="W283" s="304">
        <f t="shared" ca="1" si="120"/>
        <v>2.5574785459164739</v>
      </c>
      <c r="Y283" s="314" t="str">
        <f t="shared" ca="1" si="138"/>
        <v/>
      </c>
      <c r="Z283" s="315" t="str">
        <f t="shared" ca="1" si="139"/>
        <v/>
      </c>
      <c r="AA283" s="316" t="str">
        <f t="shared" ca="1" si="140"/>
        <v/>
      </c>
      <c r="AC283" s="310" t="e">
        <f t="shared" ca="1" si="141"/>
        <v>#N/A</v>
      </c>
      <c r="AD283" s="323" t="e">
        <f t="shared" ca="1" si="142"/>
        <v>#N/A</v>
      </c>
      <c r="AE283" s="324">
        <f t="shared" ca="1" si="121"/>
        <v>1461.8023765385194</v>
      </c>
      <c r="AG283" s="306">
        <f t="shared" ca="1" si="143"/>
        <v>-8.5150224820933271</v>
      </c>
      <c r="AH283" s="304">
        <f t="shared" ca="1" si="144"/>
        <v>-0.90145209818884409</v>
      </c>
    </row>
    <row r="284" spans="1:34" x14ac:dyDescent="0.2">
      <c r="A284" s="347">
        <f t="shared" ca="1" si="122"/>
        <v>0.1</v>
      </c>
      <c r="B284" s="304">
        <f t="shared" ca="1" si="123"/>
        <v>13.19999999999993</v>
      </c>
      <c r="D284" s="306">
        <f t="shared" ca="1" si="124"/>
        <v>-0.5532308045181431</v>
      </c>
      <c r="E284" s="307">
        <f t="shared" ca="1" si="125"/>
        <v>-10.466363897564253</v>
      </c>
      <c r="F284" s="304">
        <f t="shared" ca="1" si="126"/>
        <v>10.480975029037335</v>
      </c>
      <c r="G284" s="306">
        <f t="shared" ca="1" si="127"/>
        <v>22.086300029731952</v>
      </c>
      <c r="H284" s="307">
        <f t="shared" ca="1" si="128"/>
        <v>25.222620355006711</v>
      </c>
      <c r="I284" s="304">
        <f t="shared" ca="1" si="129"/>
        <v>33.525888900611371</v>
      </c>
      <c r="J284" s="306">
        <f t="shared" ca="1" si="130"/>
        <v>395.83296786612266</v>
      </c>
      <c r="K284" s="307">
        <f t="shared" ca="1" si="131"/>
        <v>1464.3769703935079</v>
      </c>
      <c r="L284" s="304">
        <f t="shared" ca="1" si="116"/>
        <v>1516.932315519902</v>
      </c>
      <c r="M284" s="306">
        <f t="shared" ca="1" si="132"/>
        <v>0.85159577924504237</v>
      </c>
      <c r="N284" s="304">
        <f t="shared" ca="1" si="133"/>
        <v>48.792844001895475</v>
      </c>
      <c r="P284" s="310">
        <f t="shared" ca="1" si="134"/>
        <v>23</v>
      </c>
      <c r="Q284" s="304">
        <f t="shared" ca="1" si="135"/>
        <v>0</v>
      </c>
      <c r="R284" s="306">
        <f t="shared" ca="1" si="136"/>
        <v>0</v>
      </c>
      <c r="S284" s="307">
        <f t="shared" ca="1" si="137"/>
        <v>2.9792999999999985</v>
      </c>
      <c r="T284" s="304">
        <f t="shared" ca="1" si="117"/>
        <v>29.226932999999988</v>
      </c>
      <c r="U284" s="311">
        <f t="shared" ca="1" si="118"/>
        <v>0</v>
      </c>
      <c r="V284" s="306">
        <f t="shared" ca="1" si="119"/>
        <v>1.0578521912183732</v>
      </c>
      <c r="W284" s="304">
        <f t="shared" ca="1" si="120"/>
        <v>2.4347729177588615</v>
      </c>
      <c r="Y284" s="314" t="str">
        <f t="shared" ca="1" si="138"/>
        <v/>
      </c>
      <c r="Z284" s="315" t="str">
        <f t="shared" ca="1" si="139"/>
        <v/>
      </c>
      <c r="AA284" s="316" t="str">
        <f t="shared" ca="1" si="140"/>
        <v/>
      </c>
      <c r="AC284" s="310" t="e">
        <f t="shared" ca="1" si="141"/>
        <v>#N/A</v>
      </c>
      <c r="AD284" s="323" t="e">
        <f t="shared" ca="1" si="142"/>
        <v>#N/A</v>
      </c>
      <c r="AE284" s="324">
        <f t="shared" ca="1" si="121"/>
        <v>1464.3769703935079</v>
      </c>
      <c r="AG284" s="306">
        <f t="shared" ca="1" si="143"/>
        <v>-8.3593600371902657</v>
      </c>
      <c r="AH284" s="304">
        <f t="shared" ca="1" si="144"/>
        <v>-0.8584159184763116</v>
      </c>
    </row>
    <row r="285" spans="1:34" x14ac:dyDescent="0.2">
      <c r="A285" s="347">
        <f t="shared" ca="1" si="122"/>
        <v>0.1</v>
      </c>
      <c r="B285" s="304">
        <f t="shared" ca="1" si="123"/>
        <v>13.29999999999993</v>
      </c>
      <c r="D285" s="306">
        <f t="shared" ca="1" si="124"/>
        <v>-0.53837748803737839</v>
      </c>
      <c r="E285" s="307">
        <f t="shared" ca="1" si="125"/>
        <v>-10.42482869336054</v>
      </c>
      <c r="F285" s="304">
        <f t="shared" ca="1" si="126"/>
        <v>10.438721358745939</v>
      </c>
      <c r="G285" s="306">
        <f t="shared" ca="1" si="127"/>
        <v>22.032462280928215</v>
      </c>
      <c r="H285" s="307">
        <f t="shared" ca="1" si="128"/>
        <v>24.180137485670656</v>
      </c>
      <c r="I285" s="304">
        <f t="shared" ca="1" si="129"/>
        <v>32.712512025010547</v>
      </c>
      <c r="J285" s="306">
        <f t="shared" ca="1" si="130"/>
        <v>398.03890598165566</v>
      </c>
      <c r="K285" s="307">
        <f t="shared" ca="1" si="131"/>
        <v>1466.8471082855417</v>
      </c>
      <c r="L285" s="304">
        <f t="shared" ca="1" si="116"/>
        <v>1519.8932231445501</v>
      </c>
      <c r="M285" s="306">
        <f t="shared" ca="1" si="132"/>
        <v>0.83183855028355547</v>
      </c>
      <c r="N285" s="304">
        <f t="shared" ca="1" si="133"/>
        <v>47.660838167528638</v>
      </c>
      <c r="P285" s="310">
        <f t="shared" ca="1" si="134"/>
        <v>23</v>
      </c>
      <c r="Q285" s="304">
        <f t="shared" ca="1" si="135"/>
        <v>0</v>
      </c>
      <c r="R285" s="306">
        <f t="shared" ca="1" si="136"/>
        <v>0</v>
      </c>
      <c r="S285" s="307">
        <f t="shared" ca="1" si="137"/>
        <v>2.9792999999999985</v>
      </c>
      <c r="T285" s="304">
        <f t="shared" ca="1" si="117"/>
        <v>29.226932999999988</v>
      </c>
      <c r="U285" s="311">
        <f t="shared" ca="1" si="118"/>
        <v>0</v>
      </c>
      <c r="V285" s="306">
        <f t="shared" ca="1" si="119"/>
        <v>1.0575895089683436</v>
      </c>
      <c r="W285" s="304">
        <f t="shared" ca="1" si="120"/>
        <v>2.3174896010799082</v>
      </c>
      <c r="Y285" s="314" t="str">
        <f t="shared" ca="1" si="138"/>
        <v/>
      </c>
      <c r="Z285" s="315" t="str">
        <f t="shared" ca="1" si="139"/>
        <v/>
      </c>
      <c r="AA285" s="316" t="str">
        <f t="shared" ca="1" si="140"/>
        <v/>
      </c>
      <c r="AC285" s="310" t="e">
        <f t="shared" ca="1" si="141"/>
        <v>#N/A</v>
      </c>
      <c r="AD285" s="323" t="e">
        <f t="shared" ca="1" si="142"/>
        <v>#N/A</v>
      </c>
      <c r="AE285" s="324">
        <f t="shared" ca="1" si="121"/>
        <v>1466.8471082855417</v>
      </c>
      <c r="AG285" s="306">
        <f t="shared" ca="1" si="143"/>
        <v>-8.1976130131377012</v>
      </c>
      <c r="AH285" s="304">
        <f t="shared" ca="1" si="144"/>
        <v>-0.81722985861070141</v>
      </c>
    </row>
    <row r="286" spans="1:34" x14ac:dyDescent="0.2">
      <c r="A286" s="347">
        <f t="shared" ca="1" si="122"/>
        <v>0.1</v>
      </c>
      <c r="B286" s="304">
        <f t="shared" ca="1" si="123"/>
        <v>13.399999999999929</v>
      </c>
      <c r="D286" s="306">
        <f t="shared" ca="1" si="124"/>
        <v>-0.52390518603584035</v>
      </c>
      <c r="E286" s="307">
        <f t="shared" ca="1" si="125"/>
        <v>-10.3849742932168</v>
      </c>
      <c r="F286" s="304">
        <f t="shared" ca="1" si="126"/>
        <v>10.398180981052841</v>
      </c>
      <c r="G286" s="306">
        <f t="shared" ca="1" si="127"/>
        <v>21.980071762324631</v>
      </c>
      <c r="H286" s="307">
        <f t="shared" ca="1" si="128"/>
        <v>23.141640056348976</v>
      </c>
      <c r="I286" s="304">
        <f t="shared" ca="1" si="129"/>
        <v>31.916438698178027</v>
      </c>
      <c r="J286" s="306">
        <f t="shared" ca="1" si="130"/>
        <v>400.23953268381831</v>
      </c>
      <c r="K286" s="307">
        <f t="shared" ca="1" si="131"/>
        <v>1469.2131971626427</v>
      </c>
      <c r="L286" s="304">
        <f t="shared" ca="1" si="116"/>
        <v>1522.753789107036</v>
      </c>
      <c r="M286" s="306">
        <f t="shared" ca="1" si="132"/>
        <v>0.81113548048794604</v>
      </c>
      <c r="N286" s="304">
        <f t="shared" ca="1" si="133"/>
        <v>46.474639645275445</v>
      </c>
      <c r="P286" s="310">
        <f t="shared" ca="1" si="134"/>
        <v>23</v>
      </c>
      <c r="Q286" s="304">
        <f t="shared" ca="1" si="135"/>
        <v>0</v>
      </c>
      <c r="R286" s="306">
        <f t="shared" ca="1" si="136"/>
        <v>0</v>
      </c>
      <c r="S286" s="307">
        <f t="shared" ca="1" si="137"/>
        <v>2.9792999999999985</v>
      </c>
      <c r="T286" s="304">
        <f t="shared" ca="1" si="117"/>
        <v>29.226932999999988</v>
      </c>
      <c r="U286" s="311">
        <f t="shared" ca="1" si="118"/>
        <v>0</v>
      </c>
      <c r="V286" s="306">
        <f t="shared" ca="1" si="119"/>
        <v>1.0573379482987204</v>
      </c>
      <c r="W286" s="304">
        <f t="shared" ca="1" si="120"/>
        <v>2.2055430578733639</v>
      </c>
      <c r="Y286" s="314" t="str">
        <f t="shared" ca="1" si="138"/>
        <v/>
      </c>
      <c r="Z286" s="315" t="str">
        <f t="shared" ca="1" si="139"/>
        <v/>
      </c>
      <c r="AA286" s="316" t="str">
        <f t="shared" ca="1" si="140"/>
        <v/>
      </c>
      <c r="AC286" s="310" t="e">
        <f t="shared" ca="1" si="141"/>
        <v>#N/A</v>
      </c>
      <c r="AD286" s="323" t="e">
        <f t="shared" ca="1" si="142"/>
        <v>#N/A</v>
      </c>
      <c r="AE286" s="324">
        <f t="shared" ca="1" si="121"/>
        <v>1469.2131971626427</v>
      </c>
      <c r="AG286" s="306">
        <f t="shared" ca="1" si="143"/>
        <v>-8.0291304820749332</v>
      </c>
      <c r="AH286" s="304">
        <f t="shared" ca="1" si="144"/>
        <v>-0.77786379387101312</v>
      </c>
    </row>
    <row r="287" spans="1:34" x14ac:dyDescent="0.2">
      <c r="A287" s="347">
        <f t="shared" ca="1" si="122"/>
        <v>0.1</v>
      </c>
      <c r="B287" s="304">
        <f t="shared" ca="1" si="123"/>
        <v>13.499999999999929</v>
      </c>
      <c r="D287" s="306">
        <f t="shared" ca="1" si="124"/>
        <v>-0.50981896179323016</v>
      </c>
      <c r="E287" s="307">
        <f t="shared" ca="1" si="125"/>
        <v>-10.346761073180076</v>
      </c>
      <c r="F287" s="304">
        <f t="shared" ca="1" si="126"/>
        <v>10.359313687657037</v>
      </c>
      <c r="G287" s="306">
        <f t="shared" ca="1" si="127"/>
        <v>21.929089866145308</v>
      </c>
      <c r="H287" s="307">
        <f t="shared" ca="1" si="128"/>
        <v>22.10696394903097</v>
      </c>
      <c r="I287" s="304">
        <f t="shared" ca="1" si="129"/>
        <v>31.138446290738909</v>
      </c>
      <c r="J287" s="306">
        <f t="shared" ca="1" si="130"/>
        <v>402.43499076524182</v>
      </c>
      <c r="K287" s="307">
        <f t="shared" ca="1" si="131"/>
        <v>1471.4756273629116</v>
      </c>
      <c r="L287" s="304">
        <f t="shared" ca="1" si="116"/>
        <v>1525.5144849247729</v>
      </c>
      <c r="M287" s="306">
        <f t="shared" ca="1" si="132"/>
        <v>0.78943742441423426</v>
      </c>
      <c r="N287" s="304">
        <f t="shared" ca="1" si="133"/>
        <v>45.231432608613559</v>
      </c>
      <c r="P287" s="310">
        <f t="shared" ca="1" si="134"/>
        <v>23</v>
      </c>
      <c r="Q287" s="304">
        <f t="shared" ca="1" si="135"/>
        <v>0</v>
      </c>
      <c r="R287" s="306">
        <f t="shared" ca="1" si="136"/>
        <v>0</v>
      </c>
      <c r="S287" s="307">
        <f t="shared" ca="1" si="137"/>
        <v>2.9792999999999985</v>
      </c>
      <c r="T287" s="304">
        <f t="shared" ca="1" si="117"/>
        <v>29.226932999999988</v>
      </c>
      <c r="U287" s="311">
        <f t="shared" ca="1" si="118"/>
        <v>0</v>
      </c>
      <c r="V287" s="306">
        <f t="shared" ca="1" si="119"/>
        <v>1.0570974603885712</v>
      </c>
      <c r="W287" s="304">
        <f t="shared" ca="1" si="120"/>
        <v>2.0988518120500435</v>
      </c>
      <c r="Y287" s="314" t="str">
        <f t="shared" ca="1" si="138"/>
        <v/>
      </c>
      <c r="Z287" s="315" t="str">
        <f t="shared" ca="1" si="139"/>
        <v/>
      </c>
      <c r="AA287" s="316" t="str">
        <f t="shared" ca="1" si="140"/>
        <v/>
      </c>
      <c r="AC287" s="310" t="e">
        <f t="shared" ca="1" si="141"/>
        <v>#N/A</v>
      </c>
      <c r="AD287" s="323" t="e">
        <f t="shared" ca="1" si="142"/>
        <v>#N/A</v>
      </c>
      <c r="AE287" s="324">
        <f t="shared" ca="1" si="121"/>
        <v>1471.4756273629116</v>
      </c>
      <c r="AG287" s="306">
        <f t="shared" ca="1" si="143"/>
        <v>-7.8532219788323001</v>
      </c>
      <c r="AH287" s="304">
        <f t="shared" ca="1" si="144"/>
        <v>-0.74028901348416243</v>
      </c>
    </row>
    <row r="288" spans="1:34" x14ac:dyDescent="0.2">
      <c r="A288" s="347">
        <f t="shared" ca="1" si="122"/>
        <v>0.1</v>
      </c>
      <c r="B288" s="304">
        <f t="shared" ca="1" si="123"/>
        <v>13.599999999999929</v>
      </c>
      <c r="D288" s="306">
        <f t="shared" ca="1" si="124"/>
        <v>-0.49612511027907319</v>
      </c>
      <c r="E288" s="307">
        <f t="shared" ca="1" si="125"/>
        <v>-10.310149344733221</v>
      </c>
      <c r="F288" s="304">
        <f t="shared" ca="1" si="126"/>
        <v>10.322079230259391</v>
      </c>
      <c r="G288" s="306">
        <f t="shared" ca="1" si="127"/>
        <v>21.879477355117402</v>
      </c>
      <c r="H288" s="307">
        <f t="shared" ca="1" si="128"/>
        <v>21.075949014557647</v>
      </c>
      <c r="I288" s="304">
        <f t="shared" ca="1" si="129"/>
        <v>30.379387028005169</v>
      </c>
      <c r="J288" s="306">
        <f t="shared" ca="1" si="130"/>
        <v>404.62541912630496</v>
      </c>
      <c r="K288" s="307">
        <f t="shared" ca="1" si="131"/>
        <v>1473.6347730110911</v>
      </c>
      <c r="L288" s="304">
        <f t="shared" ca="1" si="116"/>
        <v>1528.1757667331949</v>
      </c>
      <c r="M288" s="306">
        <f t="shared" ca="1" si="132"/>
        <v>0.76669424854632451</v>
      </c>
      <c r="N288" s="304">
        <f t="shared" ca="1" si="133"/>
        <v>43.928344618658549</v>
      </c>
      <c r="P288" s="310">
        <f t="shared" ca="1" si="134"/>
        <v>23</v>
      </c>
      <c r="Q288" s="304">
        <f t="shared" ca="1" si="135"/>
        <v>0</v>
      </c>
      <c r="R288" s="306">
        <f t="shared" ca="1" si="136"/>
        <v>0</v>
      </c>
      <c r="S288" s="307">
        <f t="shared" ca="1" si="137"/>
        <v>2.9792999999999985</v>
      </c>
      <c r="T288" s="304">
        <f t="shared" ca="1" si="117"/>
        <v>29.226932999999988</v>
      </c>
      <c r="U288" s="311">
        <f t="shared" ca="1" si="118"/>
        <v>0</v>
      </c>
      <c r="V288" s="306">
        <f t="shared" ca="1" si="119"/>
        <v>1.0568679984994964</v>
      </c>
      <c r="W288" s="304">
        <f t="shared" ca="1" si="120"/>
        <v>1.997338304030537</v>
      </c>
      <c r="Y288" s="314" t="str">
        <f t="shared" ca="1" si="138"/>
        <v/>
      </c>
      <c r="Z288" s="315" t="str">
        <f t="shared" ca="1" si="139"/>
        <v/>
      </c>
      <c r="AA288" s="316" t="str">
        <f t="shared" ca="1" si="140"/>
        <v/>
      </c>
      <c r="AC288" s="310" t="e">
        <f t="shared" ca="1" si="141"/>
        <v>#N/A</v>
      </c>
      <c r="AD288" s="323" t="e">
        <f t="shared" ca="1" si="142"/>
        <v>#N/A</v>
      </c>
      <c r="AE288" s="324">
        <f t="shared" ca="1" si="121"/>
        <v>1473.6347730110911</v>
      </c>
      <c r="AG288" s="306">
        <f t="shared" ca="1" si="143"/>
        <v>-7.6691582416020685</v>
      </c>
      <c r="AH288" s="304">
        <f t="shared" ca="1" si="144"/>
        <v>-0.70447817005673963</v>
      </c>
    </row>
    <row r="289" spans="1:34" x14ac:dyDescent="0.2">
      <c r="A289" s="347">
        <f t="shared" ca="1" si="122"/>
        <v>0.1</v>
      </c>
      <c r="B289" s="304">
        <f t="shared" ca="1" si="123"/>
        <v>13.699999999999928</v>
      </c>
      <c r="D289" s="306">
        <f t="shared" ca="1" si="124"/>
        <v>-0.48283120564098858</v>
      </c>
      <c r="E289" s="307">
        <f t="shared" ca="1" si="125"/>
        <v>-10.275099129543275</v>
      </c>
      <c r="F289" s="304">
        <f t="shared" ca="1" si="126"/>
        <v>10.286437094304407</v>
      </c>
      <c r="G289" s="306">
        <f t="shared" ca="1" si="127"/>
        <v>21.831194234553301</v>
      </c>
      <c r="H289" s="307">
        <f t="shared" ca="1" si="128"/>
        <v>20.048439101603321</v>
      </c>
      <c r="I289" s="304">
        <f t="shared" ca="1" si="129"/>
        <v>29.640191499339039</v>
      </c>
      <c r="J289" s="306">
        <f t="shared" ca="1" si="130"/>
        <v>406.81095270578851</v>
      </c>
      <c r="K289" s="307">
        <f t="shared" ca="1" si="131"/>
        <v>1475.690992416899</v>
      </c>
      <c r="L289" s="304">
        <f t="shared" ca="1" si="116"/>
        <v>1530.7380756817163</v>
      </c>
      <c r="M289" s="306">
        <f t="shared" ca="1" si="132"/>
        <v>0.7428553012004715</v>
      </c>
      <c r="N289" s="304">
        <f t="shared" ca="1" si="133"/>
        <v>42.562473547706574</v>
      </c>
      <c r="P289" s="310">
        <f t="shared" ca="1" si="134"/>
        <v>23</v>
      </c>
      <c r="Q289" s="304">
        <f t="shared" ca="1" si="135"/>
        <v>0</v>
      </c>
      <c r="R289" s="306">
        <f t="shared" ca="1" si="136"/>
        <v>0</v>
      </c>
      <c r="S289" s="307">
        <f t="shared" ca="1" si="137"/>
        <v>2.9792999999999985</v>
      </c>
      <c r="T289" s="304">
        <f t="shared" ca="1" si="117"/>
        <v>29.226932999999988</v>
      </c>
      <c r="U289" s="311">
        <f t="shared" ca="1" si="118"/>
        <v>0</v>
      </c>
      <c r="V289" s="306">
        <f t="shared" ca="1" si="119"/>
        <v>1.0566495179271289</v>
      </c>
      <c r="W289" s="304">
        <f t="shared" ca="1" si="120"/>
        <v>1.9009287499456409</v>
      </c>
      <c r="Y289" s="314" t="str">
        <f t="shared" ca="1" si="138"/>
        <v/>
      </c>
      <c r="Z289" s="315" t="str">
        <f t="shared" ca="1" si="139"/>
        <v/>
      </c>
      <c r="AA289" s="316" t="str">
        <f t="shared" ca="1" si="140"/>
        <v/>
      </c>
      <c r="AC289" s="310" t="e">
        <f t="shared" ca="1" si="141"/>
        <v>#N/A</v>
      </c>
      <c r="AD289" s="323" t="e">
        <f t="shared" ca="1" si="142"/>
        <v>#N/A</v>
      </c>
      <c r="AE289" s="324">
        <f t="shared" ca="1" si="121"/>
        <v>1475.690992416899</v>
      </c>
      <c r="AG289" s="306">
        <f t="shared" ca="1" si="143"/>
        <v>-7.4761732221448129</v>
      </c>
      <c r="AH289" s="304">
        <f t="shared" ca="1" si="144"/>
        <v>-0.67040523076915315</v>
      </c>
    </row>
    <row r="290" spans="1:34" x14ac:dyDescent="0.2">
      <c r="A290" s="347">
        <f t="shared" ca="1" si="122"/>
        <v>0.1</v>
      </c>
      <c r="B290" s="304">
        <f t="shared" ca="1" si="123"/>
        <v>13.799999999999928</v>
      </c>
      <c r="D290" s="306">
        <f t="shared" ca="1" si="124"/>
        <v>-0.46994614443195343</v>
      </c>
      <c r="E290" s="307">
        <f t="shared" ca="1" si="125"/>
        <v>-10.241569915802643</v>
      </c>
      <c r="F290" s="304">
        <f t="shared" ca="1" si="126"/>
        <v>10.252346254342964</v>
      </c>
      <c r="G290" s="306">
        <f t="shared" ca="1" si="127"/>
        <v>21.784199620110105</v>
      </c>
      <c r="H290" s="307">
        <f t="shared" ca="1" si="128"/>
        <v>19.024282110023059</v>
      </c>
      <c r="I290" s="304">
        <f t="shared" ca="1" si="129"/>
        <v>28.921871704482555</v>
      </c>
      <c r="J290" s="306">
        <f t="shared" ca="1" si="130"/>
        <v>408.99172239852169</v>
      </c>
      <c r="K290" s="307">
        <f t="shared" ca="1" si="131"/>
        <v>1477.6446284774804</v>
      </c>
      <c r="L290" s="304">
        <f t="shared" ca="1" si="116"/>
        <v>1533.2018383301204</v>
      </c>
      <c r="M290" s="306">
        <f t="shared" ca="1" si="132"/>
        <v>0.71787001737753109</v>
      </c>
      <c r="N290" s="304">
        <f t="shared" ca="1" si="133"/>
        <v>41.130922234715598</v>
      </c>
      <c r="P290" s="310">
        <f t="shared" ca="1" si="134"/>
        <v>23</v>
      </c>
      <c r="Q290" s="304">
        <f t="shared" ca="1" si="135"/>
        <v>0</v>
      </c>
      <c r="R290" s="306">
        <f t="shared" ca="1" si="136"/>
        <v>0</v>
      </c>
      <c r="S290" s="307">
        <f t="shared" ca="1" si="137"/>
        <v>2.9792999999999985</v>
      </c>
      <c r="T290" s="304">
        <f t="shared" ca="1" si="117"/>
        <v>29.226932999999988</v>
      </c>
      <c r="U290" s="311">
        <f t="shared" ca="1" si="118"/>
        <v>0</v>
      </c>
      <c r="V290" s="306">
        <f t="shared" ca="1" si="119"/>
        <v>1.0564419759525345</v>
      </c>
      <c r="W290" s="304">
        <f t="shared" ca="1" si="120"/>
        <v>1.8095530047895458</v>
      </c>
      <c r="Y290" s="314" t="str">
        <f t="shared" ca="1" si="138"/>
        <v/>
      </c>
      <c r="Z290" s="315" t="str">
        <f t="shared" ca="1" si="139"/>
        <v/>
      </c>
      <c r="AA290" s="316" t="str">
        <f t="shared" ca="1" si="140"/>
        <v/>
      </c>
      <c r="AC290" s="310" t="e">
        <f t="shared" ca="1" si="141"/>
        <v>#N/A</v>
      </c>
      <c r="AD290" s="323" t="e">
        <f t="shared" ca="1" si="142"/>
        <v>#N/A</v>
      </c>
      <c r="AE290" s="324">
        <f t="shared" ca="1" si="121"/>
        <v>1477.6446284774804</v>
      </c>
      <c r="AG290" s="306">
        <f t="shared" ca="1" si="143"/>
        <v>-7.2734677279484803</v>
      </c>
      <c r="AH290" s="304">
        <f t="shared" ca="1" si="144"/>
        <v>-0.63804543011635007</v>
      </c>
    </row>
    <row r="291" spans="1:34" x14ac:dyDescent="0.2">
      <c r="A291" s="347">
        <f t="shared" ca="1" si="122"/>
        <v>0.1</v>
      </c>
      <c r="B291" s="304">
        <f t="shared" ca="1" si="123"/>
        <v>13.899999999999928</v>
      </c>
      <c r="D291" s="306">
        <f t="shared" ca="1" si="124"/>
        <v>-0.45748018173166394</v>
      </c>
      <c r="E291" s="307">
        <f t="shared" ca="1" si="125"/>
        <v>-10.209520395001036</v>
      </c>
      <c r="F291" s="304">
        <f t="shared" ca="1" si="126"/>
        <v>10.219764909850879</v>
      </c>
      <c r="G291" s="306">
        <f t="shared" ca="1" si="127"/>
        <v>21.738451601936937</v>
      </c>
      <c r="H291" s="307">
        <f t="shared" ca="1" si="128"/>
        <v>18.003330070522956</v>
      </c>
      <c r="I291" s="304">
        <f t="shared" ca="1" si="129"/>
        <v>28.225523408396711</v>
      </c>
      <c r="J291" s="306">
        <f t="shared" ca="1" si="130"/>
        <v>411.16785495962404</v>
      </c>
      <c r="K291" s="307">
        <f t="shared" ca="1" si="131"/>
        <v>1479.4960090865077</v>
      </c>
      <c r="L291" s="304">
        <f t="shared" ca="1" si="116"/>
        <v>1535.5674670476064</v>
      </c>
      <c r="M291" s="306">
        <f t="shared" ca="1" si="132"/>
        <v>0.69168867967359005</v>
      </c>
      <c r="N291" s="304">
        <f t="shared" ca="1" si="133"/>
        <v>39.630842082273041</v>
      </c>
      <c r="P291" s="310">
        <f t="shared" ca="1" si="134"/>
        <v>23</v>
      </c>
      <c r="Q291" s="304">
        <f t="shared" ca="1" si="135"/>
        <v>0</v>
      </c>
      <c r="R291" s="306">
        <f t="shared" ca="1" si="136"/>
        <v>0</v>
      </c>
      <c r="S291" s="307">
        <f t="shared" ca="1" si="137"/>
        <v>2.9792999999999985</v>
      </c>
      <c r="T291" s="304">
        <f t="shared" ca="1" si="117"/>
        <v>29.226932999999988</v>
      </c>
      <c r="U291" s="311">
        <f t="shared" ca="1" si="118"/>
        <v>0</v>
      </c>
      <c r="V291" s="306">
        <f t="shared" ca="1" si="119"/>
        <v>1.0562453317932345</v>
      </c>
      <c r="W291" s="304">
        <f t="shared" ca="1" si="120"/>
        <v>1.723144428855464</v>
      </c>
      <c r="Y291" s="314" t="str">
        <f t="shared" ca="1" si="138"/>
        <v/>
      </c>
      <c r="Z291" s="315" t="str">
        <f t="shared" ca="1" si="139"/>
        <v/>
      </c>
      <c r="AA291" s="316" t="str">
        <f t="shared" ca="1" si="140"/>
        <v/>
      </c>
      <c r="AC291" s="310" t="e">
        <f t="shared" ca="1" si="141"/>
        <v>#N/A</v>
      </c>
      <c r="AD291" s="323" t="e">
        <f t="shared" ca="1" si="142"/>
        <v>#N/A</v>
      </c>
      <c r="AE291" s="324">
        <f t="shared" ca="1" si="121"/>
        <v>1479.4960090865077</v>
      </c>
      <c r="AG291" s="306">
        <f t="shared" ca="1" si="143"/>
        <v>-7.0602151164363542</v>
      </c>
      <c r="AH291" s="304">
        <f t="shared" ca="1" si="144"/>
        <v>-0.60737522397527832</v>
      </c>
    </row>
    <row r="292" spans="1:34" x14ac:dyDescent="0.2">
      <c r="A292" s="347">
        <f t="shared" ca="1" si="122"/>
        <v>0.1</v>
      </c>
      <c r="B292" s="304">
        <f t="shared" ca="1" si="123"/>
        <v>13.999999999999927</v>
      </c>
      <c r="D292" s="306">
        <f t="shared" ca="1" si="124"/>
        <v>-0.44544495664463185</v>
      </c>
      <c r="E292" s="307">
        <f t="shared" ca="1" si="125"/>
        <v>-10.178908178446736</v>
      </c>
      <c r="F292" s="304">
        <f t="shared" ca="1" si="126"/>
        <v>10.188650200819046</v>
      </c>
      <c r="G292" s="306">
        <f t="shared" ca="1" si="127"/>
        <v>21.693907106272473</v>
      </c>
      <c r="H292" s="307">
        <f t="shared" ca="1" si="128"/>
        <v>16.985439252678283</v>
      </c>
      <c r="I292" s="304">
        <f t="shared" ca="1" si="129"/>
        <v>27.552327526762664</v>
      </c>
      <c r="J292" s="306">
        <f t="shared" ca="1" si="130"/>
        <v>413.33947289503453</v>
      </c>
      <c r="K292" s="307">
        <f t="shared" ca="1" si="131"/>
        <v>1481.2454475526677</v>
      </c>
      <c r="L292" s="304">
        <f t="shared" ca="1" si="116"/>
        <v>1537.8353604169231</v>
      </c>
      <c r="M292" s="306">
        <f t="shared" ca="1" si="132"/>
        <v>0.66426335604190812</v>
      </c>
      <c r="N292" s="304">
        <f t="shared" ca="1" si="133"/>
        <v>38.059486786397265</v>
      </c>
      <c r="P292" s="310">
        <f t="shared" ca="1" si="134"/>
        <v>23</v>
      </c>
      <c r="Q292" s="304">
        <f t="shared" ca="1" si="135"/>
        <v>0</v>
      </c>
      <c r="R292" s="306">
        <f t="shared" ca="1" si="136"/>
        <v>0</v>
      </c>
      <c r="S292" s="307">
        <f t="shared" ca="1" si="137"/>
        <v>2.9792999999999985</v>
      </c>
      <c r="T292" s="304">
        <f t="shared" ca="1" si="117"/>
        <v>29.226932999999988</v>
      </c>
      <c r="U292" s="311">
        <f t="shared" ca="1" si="118"/>
        <v>0</v>
      </c>
      <c r="V292" s="306">
        <f t="shared" ca="1" si="119"/>
        <v>1.0560595465535501</v>
      </c>
      <c r="W292" s="304">
        <f t="shared" ca="1" si="120"/>
        <v>1.6416397567652461</v>
      </c>
      <c r="Y292" s="314" t="str">
        <f t="shared" ca="1" si="138"/>
        <v/>
      </c>
      <c r="Z292" s="315" t="str">
        <f t="shared" ca="1" si="139"/>
        <v/>
      </c>
      <c r="AA292" s="316" t="str">
        <f t="shared" ca="1" si="140"/>
        <v/>
      </c>
      <c r="AC292" s="310">
        <f t="shared" ca="1" si="141"/>
        <v>13.999999999999927</v>
      </c>
      <c r="AD292" s="323">
        <f t="shared" ca="1" si="142"/>
        <v>413.33947289503453</v>
      </c>
      <c r="AE292" s="324">
        <f t="shared" ca="1" si="121"/>
        <v>1481.2454475526677</v>
      </c>
      <c r="AG292" s="306">
        <f t="shared" ca="1" si="143"/>
        <v>-6.8355695139411337</v>
      </c>
      <c r="AH292" s="304">
        <f t="shared" ca="1" si="144"/>
        <v>-0.57837224477409621</v>
      </c>
    </row>
    <row r="293" spans="1:34" x14ac:dyDescent="0.2">
      <c r="A293" s="347">
        <f t="shared" ca="1" si="122"/>
        <v>0.1</v>
      </c>
      <c r="B293" s="304">
        <f t="shared" ca="1" si="123"/>
        <v>14.099999999999927</v>
      </c>
      <c r="D293" s="306">
        <f t="shared" ca="1" si="124"/>
        <v>-0.4338535029183323</v>
      </c>
      <c r="E293" s="307">
        <f t="shared" ca="1" si="125"/>
        <v>-10.149689493565239</v>
      </c>
      <c r="F293" s="304">
        <f t="shared" ca="1" si="126"/>
        <v>10.158957903140612</v>
      </c>
      <c r="G293" s="306">
        <f t="shared" ca="1" si="127"/>
        <v>21.650521755980641</v>
      </c>
      <c r="H293" s="307">
        <f t="shared" ca="1" si="128"/>
        <v>15.970470303321759</v>
      </c>
      <c r="I293" s="304">
        <f t="shared" ca="1" si="129"/>
        <v>26.903550212109057</v>
      </c>
      <c r="J293" s="306">
        <f t="shared" ca="1" si="130"/>
        <v>415.50669433814721</v>
      </c>
      <c r="K293" s="307">
        <f t="shared" ca="1" si="131"/>
        <v>1482.8932430304676</v>
      </c>
      <c r="L293" s="304">
        <f t="shared" ca="1" si="116"/>
        <v>1540.0059036462269</v>
      </c>
      <c r="M293" s="306">
        <f t="shared" ca="1" si="132"/>
        <v>0.63554903317520883</v>
      </c>
      <c r="N293" s="304">
        <f t="shared" ca="1" si="133"/>
        <v>36.41427727455941</v>
      </c>
      <c r="P293" s="310">
        <f t="shared" ca="1" si="134"/>
        <v>23</v>
      </c>
      <c r="Q293" s="304">
        <f t="shared" ca="1" si="135"/>
        <v>0</v>
      </c>
      <c r="R293" s="306">
        <f t="shared" ca="1" si="136"/>
        <v>0</v>
      </c>
      <c r="S293" s="307">
        <f t="shared" ca="1" si="137"/>
        <v>2.9792999999999985</v>
      </c>
      <c r="T293" s="304">
        <f t="shared" ca="1" si="117"/>
        <v>29.226932999999988</v>
      </c>
      <c r="U293" s="311">
        <f t="shared" ca="1" si="118"/>
        <v>0</v>
      </c>
      <c r="V293" s="306">
        <f t="shared" ca="1" si="119"/>
        <v>1.0558845831739494</v>
      </c>
      <c r="W293" s="304">
        <f t="shared" ca="1" si="120"/>
        <v>1.564978968384896</v>
      </c>
      <c r="Y293" s="314" t="str">
        <f t="shared" ca="1" si="138"/>
        <v/>
      </c>
      <c r="Z293" s="315" t="str">
        <f t="shared" ca="1" si="139"/>
        <v/>
      </c>
      <c r="AA293" s="316" t="str">
        <f t="shared" ca="1" si="140"/>
        <v/>
      </c>
      <c r="AC293" s="310" t="e">
        <f t="shared" ca="1" si="141"/>
        <v>#N/A</v>
      </c>
      <c r="AD293" s="323" t="e">
        <f t="shared" ca="1" si="142"/>
        <v>#N/A</v>
      </c>
      <c r="AE293" s="324">
        <f t="shared" ca="1" si="121"/>
        <v>1482.8932430304676</v>
      </c>
      <c r="AG293" s="306">
        <f t="shared" ca="1" si="143"/>
        <v>-6.5986770714721814</v>
      </c>
      <c r="AH293" s="304">
        <f t="shared" ca="1" si="144"/>
        <v>-0.55101525753205349</v>
      </c>
    </row>
    <row r="294" spans="1:34" x14ac:dyDescent="0.2">
      <c r="A294" s="347">
        <f t="shared" ca="1" si="122"/>
        <v>0.1</v>
      </c>
      <c r="B294" s="304">
        <f t="shared" ca="1" si="123"/>
        <v>14.199999999999926</v>
      </c>
      <c r="D294" s="306">
        <f t="shared" ca="1" si="124"/>
        <v>-0.42272023964838862</v>
      </c>
      <c r="E294" s="307">
        <f t="shared" ca="1" si="125"/>
        <v>-10.121818860995939</v>
      </c>
      <c r="F294" s="304">
        <f t="shared" ca="1" si="126"/>
        <v>10.130642104813569</v>
      </c>
      <c r="G294" s="306">
        <f t="shared" ca="1" si="127"/>
        <v>21.608249732015803</v>
      </c>
      <c r="H294" s="307">
        <f t="shared" ca="1" si="128"/>
        <v>14.958288417222166</v>
      </c>
      <c r="I294" s="304">
        <f t="shared" ca="1" si="129"/>
        <v>26.280541258770981</v>
      </c>
      <c r="J294" s="306">
        <f t="shared" ca="1" si="130"/>
        <v>417.66963291254706</v>
      </c>
      <c r="K294" s="307">
        <f t="shared" ca="1" si="131"/>
        <v>1484.4396809664947</v>
      </c>
      <c r="L294" s="304">
        <f t="shared" ca="1" si="116"/>
        <v>1542.0794689915335</v>
      </c>
      <c r="M294" s="306">
        <f t="shared" ca="1" si="132"/>
        <v>0.60550495987455255</v>
      </c>
      <c r="N294" s="304">
        <f t="shared" ca="1" si="133"/>
        <v>34.692878675050125</v>
      </c>
      <c r="P294" s="310">
        <f t="shared" ca="1" si="134"/>
        <v>23</v>
      </c>
      <c r="Q294" s="304">
        <f t="shared" ca="1" si="135"/>
        <v>0</v>
      </c>
      <c r="R294" s="306">
        <f t="shared" ca="1" si="136"/>
        <v>0</v>
      </c>
      <c r="S294" s="307">
        <f t="shared" ca="1" si="137"/>
        <v>2.9792999999999985</v>
      </c>
      <c r="T294" s="304">
        <f t="shared" ca="1" si="117"/>
        <v>29.226932999999988</v>
      </c>
      <c r="U294" s="311">
        <f t="shared" ca="1" si="118"/>
        <v>0</v>
      </c>
      <c r="V294" s="306">
        <f t="shared" ca="1" si="119"/>
        <v>1.0557204063790457</v>
      </c>
      <c r="W294" s="304">
        <f t="shared" ca="1" si="120"/>
        <v>1.493105160898174</v>
      </c>
      <c r="Y294" s="314" t="str">
        <f t="shared" ca="1" si="138"/>
        <v/>
      </c>
      <c r="Z294" s="315" t="str">
        <f t="shared" ca="1" si="139"/>
        <v/>
      </c>
      <c r="AA294" s="316" t="str">
        <f t="shared" ca="1" si="140"/>
        <v/>
      </c>
      <c r="AC294" s="310" t="e">
        <f t="shared" ca="1" si="141"/>
        <v>#N/A</v>
      </c>
      <c r="AD294" s="323" t="e">
        <f t="shared" ca="1" si="142"/>
        <v>#N/A</v>
      </c>
      <c r="AE294" s="324">
        <f t="shared" ca="1" si="121"/>
        <v>1484.4396809664947</v>
      </c>
      <c r="AG294" s="306">
        <f t="shared" ca="1" si="143"/>
        <v>-6.3486907836967124</v>
      </c>
      <c r="AH294" s="304">
        <f t="shared" ca="1" si="144"/>
        <v>-0.52528411653237228</v>
      </c>
    </row>
    <row r="295" spans="1:34" x14ac:dyDescent="0.2">
      <c r="A295" s="347">
        <f t="shared" ca="1" si="122"/>
        <v>0.1</v>
      </c>
      <c r="B295" s="304">
        <f t="shared" ca="1" si="123"/>
        <v>14.299999999999926</v>
      </c>
      <c r="D295" s="306">
        <f t="shared" ca="1" si="124"/>
        <v>-0.41206093627480178</v>
      </c>
      <c r="E295" s="307">
        <f t="shared" ca="1" si="125"/>
        <v>-10.095248754837215</v>
      </c>
      <c r="F295" s="304">
        <f t="shared" ca="1" si="126"/>
        <v>10.103654865307208</v>
      </c>
      <c r="G295" s="306">
        <f t="shared" ca="1" si="127"/>
        <v>21.567043638388324</v>
      </c>
      <c r="H295" s="307">
        <f t="shared" ca="1" si="128"/>
        <v>13.948763541738444</v>
      </c>
      <c r="I295" s="304">
        <f t="shared" ca="1" si="129"/>
        <v>25.684730398497038</v>
      </c>
      <c r="J295" s="306">
        <f t="shared" ca="1" si="130"/>
        <v>419.82839758106729</v>
      </c>
      <c r="K295" s="307">
        <f t="shared" ca="1" si="131"/>
        <v>1485.8850335644427</v>
      </c>
      <c r="L295" s="304">
        <f t="shared" ca="1" si="116"/>
        <v>1544.0564161928448</v>
      </c>
      <c r="M295" s="306">
        <f t="shared" ca="1" si="132"/>
        <v>0.57409620723927046</v>
      </c>
      <c r="N295" s="304">
        <f t="shared" ca="1" si="133"/>
        <v>32.893289709278058</v>
      </c>
      <c r="P295" s="310">
        <f t="shared" ca="1" si="134"/>
        <v>23</v>
      </c>
      <c r="Q295" s="304">
        <f t="shared" ca="1" si="135"/>
        <v>0</v>
      </c>
      <c r="R295" s="306">
        <f t="shared" ca="1" si="136"/>
        <v>0</v>
      </c>
      <c r="S295" s="307">
        <f t="shared" ca="1" si="137"/>
        <v>2.9792999999999985</v>
      </c>
      <c r="T295" s="304">
        <f t="shared" ca="1" si="117"/>
        <v>29.226932999999988</v>
      </c>
      <c r="U295" s="311">
        <f t="shared" ca="1" si="118"/>
        <v>0</v>
      </c>
      <c r="V295" s="306">
        <f t="shared" ca="1" si="119"/>
        <v>1.0555669826238967</v>
      </c>
      <c r="W295" s="304">
        <f t="shared" ca="1" si="120"/>
        <v>1.4259644212928859</v>
      </c>
      <c r="Y295" s="314" t="str">
        <f t="shared" ca="1" si="138"/>
        <v/>
      </c>
      <c r="Z295" s="315" t="str">
        <f t="shared" ca="1" si="139"/>
        <v/>
      </c>
      <c r="AA295" s="316" t="str">
        <f t="shared" ca="1" si="140"/>
        <v/>
      </c>
      <c r="AC295" s="310" t="e">
        <f t="shared" ca="1" si="141"/>
        <v>#N/A</v>
      </c>
      <c r="AD295" s="323" t="e">
        <f t="shared" ca="1" si="142"/>
        <v>#N/A</v>
      </c>
      <c r="AE295" s="324">
        <f t="shared" ca="1" si="121"/>
        <v>1485.8850335644427</v>
      </c>
      <c r="AG295" s="306">
        <f t="shared" ca="1" si="143"/>
        <v>-6.0847893717151891</v>
      </c>
      <c r="AH295" s="304">
        <f t="shared" ca="1" si="144"/>
        <v>-0.5011597223838401</v>
      </c>
    </row>
    <row r="296" spans="1:34" x14ac:dyDescent="0.2">
      <c r="A296" s="347">
        <f t="shared" ca="1" si="122"/>
        <v>0.1</v>
      </c>
      <c r="B296" s="304">
        <f t="shared" ca="1" si="123"/>
        <v>14.399999999999926</v>
      </c>
      <c r="D296" s="306">
        <f t="shared" ca="1" si="124"/>
        <v>-0.40189264539995612</v>
      </c>
      <c r="E296" s="307">
        <f t="shared" ca="1" si="125"/>
        <v>-10.069929250102202</v>
      </c>
      <c r="F296" s="304">
        <f t="shared" ca="1" si="126"/>
        <v>10.077945862153184</v>
      </c>
      <c r="G296" s="306">
        <f t="shared" ca="1" si="127"/>
        <v>21.526854373848327</v>
      </c>
      <c r="H296" s="307">
        <f t="shared" ca="1" si="128"/>
        <v>12.941770616728224</v>
      </c>
      <c r="I296" s="304">
        <f t="shared" ca="1" si="129"/>
        <v>25.117621024469713</v>
      </c>
      <c r="J296" s="306">
        <f t="shared" ca="1" si="130"/>
        <v>421.98309248167914</v>
      </c>
      <c r="K296" s="307">
        <f t="shared" ca="1" si="131"/>
        <v>1487.2295602723659</v>
      </c>
      <c r="L296" s="304">
        <f t="shared" ca="1" si="116"/>
        <v>1545.9370929272434</v>
      </c>
      <c r="M296" s="306">
        <f t="shared" ca="1" si="132"/>
        <v>0.54129544110031358</v>
      </c>
      <c r="N296" s="304">
        <f t="shared" ca="1" si="133"/>
        <v>31.013944244720207</v>
      </c>
      <c r="P296" s="310">
        <f t="shared" ca="1" si="134"/>
        <v>23</v>
      </c>
      <c r="Q296" s="304">
        <f t="shared" ca="1" si="135"/>
        <v>0</v>
      </c>
      <c r="R296" s="306">
        <f t="shared" ca="1" si="136"/>
        <v>0</v>
      </c>
      <c r="S296" s="307">
        <f t="shared" ca="1" si="137"/>
        <v>2.9792999999999985</v>
      </c>
      <c r="T296" s="304">
        <f t="shared" ca="1" si="117"/>
        <v>29.226932999999988</v>
      </c>
      <c r="U296" s="311">
        <f t="shared" ca="1" si="118"/>
        <v>0</v>
      </c>
      <c r="V296" s="306">
        <f t="shared" ca="1" si="119"/>
        <v>1.055424280038217</v>
      </c>
      <c r="W296" s="304">
        <f t="shared" ca="1" si="120"/>
        <v>1.3635056985015601</v>
      </c>
      <c r="Y296" s="314" t="str">
        <f t="shared" ca="1" si="138"/>
        <v/>
      </c>
      <c r="Z296" s="315" t="str">
        <f t="shared" ca="1" si="139"/>
        <v/>
      </c>
      <c r="AA296" s="316" t="str">
        <f t="shared" ca="1" si="140"/>
        <v/>
      </c>
      <c r="AC296" s="310" t="e">
        <f t="shared" ca="1" si="141"/>
        <v>#N/A</v>
      </c>
      <c r="AD296" s="323" t="e">
        <f t="shared" ca="1" si="142"/>
        <v>#N/A</v>
      </c>
      <c r="AE296" s="324">
        <f t="shared" ca="1" si="121"/>
        <v>1487.2295602723659</v>
      </c>
      <c r="AG296" s="306">
        <f t="shared" ca="1" si="143"/>
        <v>-5.8062006452567561</v>
      </c>
      <c r="AH296" s="304">
        <f t="shared" ca="1" si="144"/>
        <v>-0.47862397922091987</v>
      </c>
    </row>
    <row r="297" spans="1:34" x14ac:dyDescent="0.2">
      <c r="A297" s="347">
        <f t="shared" ca="1" si="122"/>
        <v>0.1</v>
      </c>
      <c r="B297" s="304">
        <f t="shared" ca="1" si="123"/>
        <v>14.499999999999925</v>
      </c>
      <c r="D297" s="306">
        <f t="shared" ca="1" si="124"/>
        <v>-0.3922335964823625</v>
      </c>
      <c r="E297" s="307">
        <f t="shared" ca="1" si="125"/>
        <v>-10.045807663567226</v>
      </c>
      <c r="F297" s="304">
        <f t="shared" ca="1" si="126"/>
        <v>10.053462030942152</v>
      </c>
      <c r="G297" s="306">
        <f t="shared" ca="1" si="127"/>
        <v>21.48763101420009</v>
      </c>
      <c r="H297" s="307">
        <f t="shared" ca="1" si="128"/>
        <v>11.937189850371501</v>
      </c>
      <c r="I297" s="304">
        <f t="shared" ca="1" si="129"/>
        <v>24.580780868927373</v>
      </c>
      <c r="J297" s="306">
        <f t="shared" ca="1" si="130"/>
        <v>424.13381675108155</v>
      </c>
      <c r="K297" s="307">
        <f t="shared" ca="1" si="131"/>
        <v>1488.4735082957209</v>
      </c>
      <c r="L297" s="304">
        <f t="shared" ca="1" si="116"/>
        <v>1547.7218352824293</v>
      </c>
      <c r="M297" s="306">
        <f t="shared" ca="1" si="132"/>
        <v>0.50708488620516901</v>
      </c>
      <c r="N297" s="304">
        <f t="shared" ca="1" si="133"/>
        <v>29.053823834427803</v>
      </c>
      <c r="P297" s="310">
        <f t="shared" ca="1" si="134"/>
        <v>23</v>
      </c>
      <c r="Q297" s="304">
        <f t="shared" ca="1" si="135"/>
        <v>0</v>
      </c>
      <c r="R297" s="306">
        <f t="shared" ca="1" si="136"/>
        <v>0</v>
      </c>
      <c r="S297" s="307">
        <f t="shared" ca="1" si="137"/>
        <v>2.9792999999999985</v>
      </c>
      <c r="T297" s="304">
        <f t="shared" ca="1" si="117"/>
        <v>29.226932999999988</v>
      </c>
      <c r="U297" s="311">
        <f t="shared" ca="1" si="118"/>
        <v>0</v>
      </c>
      <c r="V297" s="306">
        <f t="shared" ca="1" si="119"/>
        <v>1.0552922683681247</v>
      </c>
      <c r="W297" s="304">
        <f t="shared" ca="1" si="120"/>
        <v>1.3056806744334395</v>
      </c>
      <c r="Y297" s="314" t="str">
        <f t="shared" ca="1" si="138"/>
        <v/>
      </c>
      <c r="Z297" s="315" t="str">
        <f t="shared" ca="1" si="139"/>
        <v/>
      </c>
      <c r="AA297" s="316" t="str">
        <f t="shared" ca="1" si="140"/>
        <v/>
      </c>
      <c r="AC297" s="310" t="e">
        <f t="shared" ca="1" si="141"/>
        <v>#N/A</v>
      </c>
      <c r="AD297" s="323" t="e">
        <f t="shared" ca="1" si="142"/>
        <v>#N/A</v>
      </c>
      <c r="AE297" s="324">
        <f t="shared" ca="1" si="121"/>
        <v>1488.4735082957209</v>
      </c>
      <c r="AG297" s="306">
        <f t="shared" ca="1" si="143"/>
        <v>-5.5122295944660316</v>
      </c>
      <c r="AH297" s="304">
        <f t="shared" ca="1" si="144"/>
        <v>-0.45765975178785645</v>
      </c>
    </row>
    <row r="298" spans="1:34" x14ac:dyDescent="0.2">
      <c r="A298" s="347">
        <f t="shared" ca="1" si="122"/>
        <v>0.1</v>
      </c>
      <c r="B298" s="304">
        <f t="shared" ca="1" si="123"/>
        <v>14.599999999999925</v>
      </c>
      <c r="D298" s="306">
        <f t="shared" ca="1" si="124"/>
        <v>-0.38310304331898071</v>
      </c>
      <c r="E298" s="307">
        <f t="shared" ca="1" si="125"/>
        <v>-10.022828196711476</v>
      </c>
      <c r="F298" s="304">
        <f t="shared" ca="1" si="126"/>
        <v>10.030147207423971</v>
      </c>
      <c r="G298" s="306">
        <f t="shared" ca="1" si="127"/>
        <v>21.449320709868193</v>
      </c>
      <c r="H298" s="307">
        <f t="shared" ca="1" si="128"/>
        <v>10.934907030700353</v>
      </c>
      <c r="I298" s="304">
        <f t="shared" ca="1" si="129"/>
        <v>24.075829179590901</v>
      </c>
      <c r="J298" s="306">
        <f t="shared" ca="1" si="130"/>
        <v>426.28066433728497</v>
      </c>
      <c r="K298" s="307">
        <f t="shared" ca="1" si="131"/>
        <v>1489.6171131397746</v>
      </c>
      <c r="L298" s="304">
        <f t="shared" ca="1" si="116"/>
        <v>1549.4109682542953</v>
      </c>
      <c r="M298" s="306">
        <f t="shared" ca="1" si="132"/>
        <v>0.47145844095030098</v>
      </c>
      <c r="N298" s="304">
        <f t="shared" ca="1" si="133"/>
        <v>27.012578882269988</v>
      </c>
      <c r="P298" s="310">
        <f t="shared" ca="1" si="134"/>
        <v>23</v>
      </c>
      <c r="Q298" s="304">
        <f t="shared" ca="1" si="135"/>
        <v>0</v>
      </c>
      <c r="R298" s="306">
        <f t="shared" ca="1" si="136"/>
        <v>0</v>
      </c>
      <c r="S298" s="307">
        <f t="shared" ca="1" si="137"/>
        <v>2.9792999999999985</v>
      </c>
      <c r="T298" s="304">
        <f t="shared" ca="1" si="117"/>
        <v>29.226932999999988</v>
      </c>
      <c r="U298" s="311">
        <f t="shared" ca="1" si="118"/>
        <v>0</v>
      </c>
      <c r="V298" s="306">
        <f t="shared" ca="1" si="119"/>
        <v>1.0551709189150267</v>
      </c>
      <c r="W298" s="304">
        <f t="shared" ca="1" si="120"/>
        <v>1.2524436331421265</v>
      </c>
      <c r="Y298" s="314" t="str">
        <f t="shared" ca="1" si="138"/>
        <v/>
      </c>
      <c r="Z298" s="315" t="str">
        <f t="shared" ca="1" si="139"/>
        <v/>
      </c>
      <c r="AA298" s="316" t="str">
        <f t="shared" ca="1" si="140"/>
        <v/>
      </c>
      <c r="AC298" s="310" t="e">
        <f t="shared" ca="1" si="141"/>
        <v>#N/A</v>
      </c>
      <c r="AD298" s="323" t="e">
        <f t="shared" ca="1" si="142"/>
        <v>#N/A</v>
      </c>
      <c r="AE298" s="324">
        <f t="shared" ca="1" si="121"/>
        <v>1489.6171131397746</v>
      </c>
      <c r="AG298" s="306">
        <f t="shared" ca="1" si="143"/>
        <v>-5.2022911940403702</v>
      </c>
      <c r="AH298" s="304">
        <f t="shared" ca="1" si="144"/>
        <v>-0.43825082215065286</v>
      </c>
    </row>
    <row r="299" spans="1:34" x14ac:dyDescent="0.2">
      <c r="A299" s="347">
        <f t="shared" ca="1" si="122"/>
        <v>0.1</v>
      </c>
      <c r="B299" s="304">
        <f t="shared" ca="1" si="123"/>
        <v>14.699999999999925</v>
      </c>
      <c r="D299" s="306">
        <f t="shared" ca="1" si="124"/>
        <v>-0.3745210585916422</v>
      </c>
      <c r="E299" s="307">
        <f t="shared" ca="1" si="125"/>
        <v>-10.000931592293036</v>
      </c>
      <c r="F299" s="304">
        <f t="shared" ca="1" si="126"/>
        <v>10.00794178325661</v>
      </c>
      <c r="G299" s="306">
        <f t="shared" ca="1" si="127"/>
        <v>21.41186860400903</v>
      </c>
      <c r="H299" s="307">
        <f t="shared" ca="1" si="128"/>
        <v>9.9348138714710501</v>
      </c>
      <c r="I299" s="304">
        <f t="shared" ca="1" si="129"/>
        <v>23.604420005077888</v>
      </c>
      <c r="J299" s="306">
        <f t="shared" ca="1" si="130"/>
        <v>428.42372380297883</v>
      </c>
      <c r="K299" s="307">
        <f t="shared" ca="1" si="131"/>
        <v>1490.660599184883</v>
      </c>
      <c r="L299" s="304">
        <f t="shared" ca="1" si="116"/>
        <v>1551.0048062721939</v>
      </c>
      <c r="M299" s="306">
        <f t="shared" ca="1" si="132"/>
        <v>0.43442387623513901</v>
      </c>
      <c r="N299" s="304">
        <f t="shared" ca="1" si="133"/>
        <v>24.890654627987089</v>
      </c>
      <c r="P299" s="310">
        <f t="shared" ca="1" si="134"/>
        <v>23</v>
      </c>
      <c r="Q299" s="304">
        <f t="shared" ca="1" si="135"/>
        <v>0</v>
      </c>
      <c r="R299" s="306">
        <f t="shared" ca="1" si="136"/>
        <v>0</v>
      </c>
      <c r="S299" s="307">
        <f t="shared" ca="1" si="137"/>
        <v>2.9792999999999985</v>
      </c>
      <c r="T299" s="304">
        <f t="shared" ca="1" si="117"/>
        <v>29.226932999999988</v>
      </c>
      <c r="U299" s="311">
        <f t="shared" ca="1" si="118"/>
        <v>0</v>
      </c>
      <c r="V299" s="306">
        <f t="shared" ca="1" si="119"/>
        <v>1.0550602044712629</v>
      </c>
      <c r="W299" s="304">
        <f t="shared" ca="1" si="120"/>
        <v>1.2037513273973544</v>
      </c>
      <c r="Y299" s="314" t="str">
        <f t="shared" ca="1" si="138"/>
        <v/>
      </c>
      <c r="Z299" s="315" t="str">
        <f t="shared" ca="1" si="139"/>
        <v/>
      </c>
      <c r="AA299" s="316" t="str">
        <f t="shared" ca="1" si="140"/>
        <v/>
      </c>
      <c r="AC299" s="310" t="e">
        <f t="shared" ca="1" si="141"/>
        <v>#N/A</v>
      </c>
      <c r="AD299" s="323" t="e">
        <f t="shared" ca="1" si="142"/>
        <v>#N/A</v>
      </c>
      <c r="AE299" s="324">
        <f t="shared" ca="1" si="121"/>
        <v>1490.660599184883</v>
      </c>
      <c r="AG299" s="306">
        <f t="shared" ca="1" si="143"/>
        <v>-4.8759475158580861</v>
      </c>
      <c r="AH299" s="304">
        <f t="shared" ca="1" si="144"/>
        <v>-0.42038184578328036</v>
      </c>
    </row>
    <row r="300" spans="1:34" x14ac:dyDescent="0.2">
      <c r="A300" s="347">
        <f t="shared" ca="1" si="122"/>
        <v>0.1</v>
      </c>
      <c r="B300" s="304">
        <f t="shared" ca="1" si="123"/>
        <v>14.799999999999924</v>
      </c>
      <c r="D300" s="306">
        <f t="shared" ca="1" si="124"/>
        <v>-0.36650826980514284</v>
      </c>
      <c r="E300" s="307">
        <f t="shared" ca="1" si="125"/>
        <v>-9.9800548191383562</v>
      </c>
      <c r="F300" s="304">
        <f t="shared" ca="1" si="126"/>
        <v>9.9867823899813839</v>
      </c>
      <c r="G300" s="306">
        <f t="shared" ca="1" si="127"/>
        <v>21.375217777028514</v>
      </c>
      <c r="H300" s="307">
        <f t="shared" ca="1" si="128"/>
        <v>8.9368083895572141</v>
      </c>
      <c r="I300" s="304">
        <f t="shared" ca="1" si="129"/>
        <v>23.168221321608961</v>
      </c>
      <c r="J300" s="306">
        <f t="shared" ca="1" si="130"/>
        <v>430.56307812203073</v>
      </c>
      <c r="K300" s="307">
        <f t="shared" ca="1" si="131"/>
        <v>1491.6041802979344</v>
      </c>
      <c r="L300" s="304">
        <f t="shared" ca="1" si="116"/>
        <v>1552.5036537555043</v>
      </c>
      <c r="M300" s="306">
        <f t="shared" ca="1" si="132"/>
        <v>0.39600502344868332</v>
      </c>
      <c r="N300" s="304">
        <f t="shared" ca="1" si="133"/>
        <v>22.689416509588757</v>
      </c>
      <c r="P300" s="310">
        <f t="shared" ca="1" si="134"/>
        <v>23</v>
      </c>
      <c r="Q300" s="304">
        <f t="shared" ca="1" si="135"/>
        <v>0</v>
      </c>
      <c r="R300" s="306">
        <f t="shared" ca="1" si="136"/>
        <v>0</v>
      </c>
      <c r="S300" s="307">
        <f t="shared" ca="1" si="137"/>
        <v>2.9792999999999985</v>
      </c>
      <c r="T300" s="304">
        <f t="shared" ca="1" si="117"/>
        <v>29.226932999999988</v>
      </c>
      <c r="U300" s="311">
        <f t="shared" ca="1" si="118"/>
        <v>0</v>
      </c>
      <c r="V300" s="306">
        <f t="shared" ca="1" si="119"/>
        <v>1.0549600992521502</v>
      </c>
      <c r="W300" s="304">
        <f t="shared" ca="1" si="120"/>
        <v>1.1595628419754347</v>
      </c>
      <c r="Y300" s="314" t="str">
        <f t="shared" ca="1" si="138"/>
        <v/>
      </c>
      <c r="Z300" s="315" t="str">
        <f t="shared" ca="1" si="139"/>
        <v/>
      </c>
      <c r="AA300" s="316" t="str">
        <f t="shared" ca="1" si="140"/>
        <v/>
      </c>
      <c r="AC300" s="310" t="e">
        <f t="shared" ca="1" si="141"/>
        <v>#N/A</v>
      </c>
      <c r="AD300" s="323" t="e">
        <f t="shared" ca="1" si="142"/>
        <v>#N/A</v>
      </c>
      <c r="AE300" s="324">
        <f t="shared" ca="1" si="121"/>
        <v>1491.6041802979344</v>
      </c>
      <c r="AG300" s="306">
        <f t="shared" ca="1" si="143"/>
        <v>-4.5329482337439284</v>
      </c>
      <c r="AH300" s="304">
        <f t="shared" ca="1" si="144"/>
        <v>-0.40403830678258484</v>
      </c>
    </row>
    <row r="301" spans="1:34" x14ac:dyDescent="0.2">
      <c r="A301" s="347">
        <f t="shared" ca="1" si="122"/>
        <v>0.1</v>
      </c>
      <c r="B301" s="304">
        <f t="shared" ca="1" si="123"/>
        <v>14.899999999999924</v>
      </c>
      <c r="D301" s="306">
        <f t="shared" ca="1" si="124"/>
        <v>-0.35908553286655959</v>
      </c>
      <c r="E301" s="307">
        <f t="shared" ca="1" si="125"/>
        <v>-9.9601308026970941</v>
      </c>
      <c r="F301" s="304">
        <f t="shared" ca="1" si="126"/>
        <v>9.9666016287774593</v>
      </c>
      <c r="G301" s="306">
        <f t="shared" ca="1" si="127"/>
        <v>21.339309223741857</v>
      </c>
      <c r="H301" s="307">
        <f t="shared" ca="1" si="128"/>
        <v>7.9407953092875045</v>
      </c>
      <c r="I301" s="304">
        <f t="shared" ca="1" si="129"/>
        <v>22.768889922226705</v>
      </c>
      <c r="J301" s="306">
        <f t="shared" ca="1" si="130"/>
        <v>432.69880447206924</v>
      </c>
      <c r="K301" s="307">
        <f t="shared" ca="1" si="131"/>
        <v>1492.4480604828766</v>
      </c>
      <c r="L301" s="304">
        <f t="shared" ca="1" si="116"/>
        <v>1553.9078057049132</v>
      </c>
      <c r="M301" s="306">
        <f t="shared" ca="1" si="132"/>
        <v>0.35624382702125723</v>
      </c>
      <c r="N301" s="304">
        <f t="shared" ca="1" si="133"/>
        <v>20.411267765906594</v>
      </c>
      <c r="P301" s="310">
        <f t="shared" ca="1" si="134"/>
        <v>23</v>
      </c>
      <c r="Q301" s="304">
        <f t="shared" ca="1" si="135"/>
        <v>0</v>
      </c>
      <c r="R301" s="306">
        <f t="shared" ca="1" si="136"/>
        <v>0</v>
      </c>
      <c r="S301" s="307">
        <f t="shared" ca="1" si="137"/>
        <v>2.9792999999999985</v>
      </c>
      <c r="T301" s="304">
        <f t="shared" ca="1" si="117"/>
        <v>29.226932999999988</v>
      </c>
      <c r="U301" s="311">
        <f t="shared" ca="1" si="118"/>
        <v>0</v>
      </c>
      <c r="V301" s="306">
        <f t="shared" ca="1" si="119"/>
        <v>1.0548705788241002</v>
      </c>
      <c r="W301" s="304">
        <f t="shared" ca="1" si="120"/>
        <v>1.1198394530558824</v>
      </c>
      <c r="Y301" s="314" t="str">
        <f t="shared" ca="1" si="138"/>
        <v/>
      </c>
      <c r="Z301" s="315" t="str">
        <f t="shared" ca="1" si="139"/>
        <v/>
      </c>
      <c r="AA301" s="316" t="str">
        <f t="shared" ca="1" si="140"/>
        <v/>
      </c>
      <c r="AC301" s="310" t="e">
        <f t="shared" ca="1" si="141"/>
        <v>#N/A</v>
      </c>
      <c r="AD301" s="323" t="e">
        <f t="shared" ca="1" si="142"/>
        <v>#N/A</v>
      </c>
      <c r="AE301" s="324">
        <f t="shared" ca="1" si="121"/>
        <v>1492.4480604828766</v>
      </c>
      <c r="AG301" s="306">
        <f t="shared" ca="1" si="143"/>
        <v>-4.1732729777599964</v>
      </c>
      <c r="AH301" s="304">
        <f t="shared" ca="1" si="144"/>
        <v>-0.38920647198181962</v>
      </c>
    </row>
    <row r="302" spans="1:34" x14ac:dyDescent="0.2">
      <c r="A302" s="347">
        <f t="shared" ca="1" si="122"/>
        <v>0.1</v>
      </c>
      <c r="B302" s="304">
        <f t="shared" ca="1" si="123"/>
        <v>14.999999999999924</v>
      </c>
      <c r="D302" s="306">
        <f t="shared" ca="1" si="124"/>
        <v>-0.35227354248690185</v>
      </c>
      <c r="E302" s="307">
        <f t="shared" ca="1" si="125"/>
        <v>-9.9410882214806566</v>
      </c>
      <c r="F302" s="304">
        <f t="shared" ca="1" si="126"/>
        <v>9.9473278661154882</v>
      </c>
      <c r="G302" s="306">
        <f t="shared" ca="1" si="127"/>
        <v>21.304081869493167</v>
      </c>
      <c r="H302" s="307">
        <f t="shared" ca="1" si="128"/>
        <v>6.9466864871394387</v>
      </c>
      <c r="I302" s="304">
        <f t="shared" ca="1" si="129"/>
        <v>22.408042249439667</v>
      </c>
      <c r="J302" s="306">
        <f t="shared" ca="1" si="130"/>
        <v>434.83097402673098</v>
      </c>
      <c r="K302" s="307">
        <f t="shared" ca="1" si="131"/>
        <v>1493.1924345726979</v>
      </c>
      <c r="L302" s="304">
        <f t="shared" ca="1" si="116"/>
        <v>1555.2175483314791</v>
      </c>
      <c r="M302" s="306">
        <f t="shared" ca="1" si="132"/>
        <v>0.31520211002163673</v>
      </c>
      <c r="N302" s="304">
        <f t="shared" ca="1" si="133"/>
        <v>18.059750597858013</v>
      </c>
      <c r="P302" s="310">
        <f t="shared" ca="1" si="134"/>
        <v>23</v>
      </c>
      <c r="Q302" s="304">
        <f t="shared" ca="1" si="135"/>
        <v>0</v>
      </c>
      <c r="R302" s="306">
        <f t="shared" ca="1" si="136"/>
        <v>0</v>
      </c>
      <c r="S302" s="307">
        <f t="shared" ca="1" si="137"/>
        <v>2.9792999999999985</v>
      </c>
      <c r="T302" s="304">
        <f t="shared" ca="1" si="117"/>
        <v>29.226932999999988</v>
      </c>
      <c r="U302" s="311">
        <f t="shared" ca="1" si="118"/>
        <v>0</v>
      </c>
      <c r="V302" s="306">
        <f t="shared" ca="1" si="119"/>
        <v>1.0547916200285563</v>
      </c>
      <c r="W302" s="304">
        <f t="shared" ca="1" si="120"/>
        <v>1.0845444832164448</v>
      </c>
      <c r="Y302" s="314" t="str">
        <f t="shared" ca="1" si="138"/>
        <v/>
      </c>
      <c r="Z302" s="315" t="str">
        <f t="shared" ca="1" si="139"/>
        <v/>
      </c>
      <c r="AA302" s="316" t="str">
        <f t="shared" ca="1" si="140"/>
        <v/>
      </c>
      <c r="AC302" s="310">
        <f t="shared" ca="1" si="141"/>
        <v>14.999999999999924</v>
      </c>
      <c r="AD302" s="323">
        <f t="shared" ca="1" si="142"/>
        <v>434.83097402673098</v>
      </c>
      <c r="AE302" s="324">
        <f t="shared" ca="1" si="121"/>
        <v>1493.1924345726979</v>
      </c>
      <c r="AG302" s="306">
        <f t="shared" ca="1" si="143"/>
        <v>-3.7971732951468655</v>
      </c>
      <c r="AH302" s="304">
        <f t="shared" ca="1" si="144"/>
        <v>-0.37587334375721915</v>
      </c>
    </row>
    <row r="303" spans="1:34" x14ac:dyDescent="0.2">
      <c r="A303" s="347">
        <f t="shared" ca="1" si="122"/>
        <v>0.1</v>
      </c>
      <c r="B303" s="304">
        <f t="shared" ca="1" si="123"/>
        <v>15.099999999999923</v>
      </c>
      <c r="D303" s="306">
        <f t="shared" ca="1" si="124"/>
        <v>-0.34609238257846708</v>
      </c>
      <c r="E303" s="307">
        <f t="shared" ca="1" si="125"/>
        <v>-9.9228513912069811</v>
      </c>
      <c r="F303" s="304">
        <f t="shared" ca="1" si="126"/>
        <v>9.9288851171346106</v>
      </c>
      <c r="G303" s="306">
        <f t="shared" ca="1" si="127"/>
        <v>21.26947263123532</v>
      </c>
      <c r="H303" s="307">
        <f t="shared" ca="1" si="128"/>
        <v>5.9544013480187408</v>
      </c>
      <c r="I303" s="304">
        <f t="shared" ca="1" si="129"/>
        <v>22.087221677344477</v>
      </c>
      <c r="J303" s="306">
        <f t="shared" ca="1" si="130"/>
        <v>436.95965175176741</v>
      </c>
      <c r="K303" s="307">
        <f t="shared" ca="1" si="131"/>
        <v>1493.8374889644558</v>
      </c>
      <c r="L303" s="304">
        <f t="shared" ca="1" si="116"/>
        <v>1556.4331597259988</v>
      </c>
      <c r="M303" s="306">
        <f t="shared" ca="1" si="132"/>
        <v>0.27296288182659428</v>
      </c>
      <c r="N303" s="304">
        <f t="shared" ca="1" si="133"/>
        <v>15.639621092392092</v>
      </c>
      <c r="P303" s="310">
        <f t="shared" ca="1" si="134"/>
        <v>23</v>
      </c>
      <c r="Q303" s="304">
        <f t="shared" ca="1" si="135"/>
        <v>0</v>
      </c>
      <c r="R303" s="306">
        <f t="shared" ca="1" si="136"/>
        <v>0</v>
      </c>
      <c r="S303" s="307">
        <f t="shared" ca="1" si="137"/>
        <v>2.9792999999999985</v>
      </c>
      <c r="T303" s="304">
        <f t="shared" ca="1" si="117"/>
        <v>29.226932999999988</v>
      </c>
      <c r="U303" s="311">
        <f t="shared" ca="1" si="118"/>
        <v>0</v>
      </c>
      <c r="V303" s="306">
        <f t="shared" ca="1" si="119"/>
        <v>1.0547232009015604</v>
      </c>
      <c r="W303" s="304">
        <f t="shared" ca="1" si="120"/>
        <v>1.0536431516585614</v>
      </c>
      <c r="Y303" s="314" t="str">
        <f t="shared" ca="1" si="138"/>
        <v/>
      </c>
      <c r="Z303" s="315" t="str">
        <f t="shared" ca="1" si="139"/>
        <v/>
      </c>
      <c r="AA303" s="316" t="str">
        <f t="shared" ca="1" si="140"/>
        <v/>
      </c>
      <c r="AC303" s="310" t="e">
        <f t="shared" ca="1" si="141"/>
        <v>#N/A</v>
      </c>
      <c r="AD303" s="323" t="e">
        <f t="shared" ca="1" si="142"/>
        <v>#N/A</v>
      </c>
      <c r="AE303" s="324">
        <f t="shared" ca="1" si="121"/>
        <v>1493.8374889644558</v>
      </c>
      <c r="AG303" s="306">
        <f t="shared" ca="1" si="143"/>
        <v>-3.4052112753383437</v>
      </c>
      <c r="AH303" s="304">
        <f t="shared" ca="1" si="144"/>
        <v>-0.36402661135717967</v>
      </c>
    </row>
    <row r="304" spans="1:34" x14ac:dyDescent="0.2">
      <c r="A304" s="347">
        <f t="shared" ca="1" si="122"/>
        <v>0.1</v>
      </c>
      <c r="B304" s="304">
        <f t="shared" ca="1" si="123"/>
        <v>15.199999999999923</v>
      </c>
      <c r="D304" s="306">
        <f t="shared" ca="1" si="124"/>
        <v>-0.34056102478191153</v>
      </c>
      <c r="E304" s="307">
        <f t="shared" ca="1" si="125"/>
        <v>-9.9053402587925987</v>
      </c>
      <c r="F304" s="304">
        <f t="shared" ca="1" si="126"/>
        <v>9.911193038885779</v>
      </c>
      <c r="G304" s="306">
        <f t="shared" ca="1" si="127"/>
        <v>21.235416528757128</v>
      </c>
      <c r="H304" s="307">
        <f t="shared" ca="1" si="128"/>
        <v>4.9638673221394809</v>
      </c>
      <c r="I304" s="304">
        <f t="shared" ca="1" si="129"/>
        <v>21.807863121856201</v>
      </c>
      <c r="J304" s="306">
        <f t="shared" ca="1" si="130"/>
        <v>439.08489620976701</v>
      </c>
      <c r="K304" s="307">
        <f t="shared" ca="1" si="131"/>
        <v>1494.3834023979637</v>
      </c>
      <c r="L304" s="304">
        <f t="shared" ca="1" si="116"/>
        <v>1557.5549105704288</v>
      </c>
      <c r="M304" s="306">
        <f t="shared" ca="1" si="132"/>
        <v>0.22963101057772778</v>
      </c>
      <c r="N304" s="304">
        <f t="shared" ca="1" si="133"/>
        <v>13.156887751427766</v>
      </c>
      <c r="P304" s="310">
        <f t="shared" ca="1" si="134"/>
        <v>23</v>
      </c>
      <c r="Q304" s="304">
        <f t="shared" ca="1" si="135"/>
        <v>0</v>
      </c>
      <c r="R304" s="306">
        <f t="shared" ca="1" si="136"/>
        <v>0</v>
      </c>
      <c r="S304" s="307">
        <f t="shared" ca="1" si="137"/>
        <v>2.9792999999999985</v>
      </c>
      <c r="T304" s="304">
        <f t="shared" ca="1" si="117"/>
        <v>29.226932999999988</v>
      </c>
      <c r="U304" s="311">
        <f t="shared" ca="1" si="118"/>
        <v>0</v>
      </c>
      <c r="V304" s="306">
        <f t="shared" ca="1" si="119"/>
        <v>1.0546653005888711</v>
      </c>
      <c r="W304" s="304">
        <f t="shared" ca="1" si="120"/>
        <v>1.0271024194718663</v>
      </c>
      <c r="Y304" s="314" t="str">
        <f t="shared" ca="1" si="138"/>
        <v/>
      </c>
      <c r="Z304" s="315" t="str">
        <f t="shared" ca="1" si="139"/>
        <v/>
      </c>
      <c r="AA304" s="316" t="str">
        <f t="shared" ca="1" si="140"/>
        <v/>
      </c>
      <c r="AC304" s="310" t="e">
        <f t="shared" ca="1" si="141"/>
        <v>#N/A</v>
      </c>
      <c r="AD304" s="323" t="e">
        <f t="shared" ca="1" si="142"/>
        <v>#N/A</v>
      </c>
      <c r="AE304" s="324">
        <f t="shared" ca="1" si="121"/>
        <v>1494.3834023979637</v>
      </c>
      <c r="AG304" s="306">
        <f t="shared" ca="1" si="143"/>
        <v>-2.998291308559244</v>
      </c>
      <c r="AH304" s="304">
        <f t="shared" ca="1" si="144"/>
        <v>-0.353654600630538</v>
      </c>
    </row>
    <row r="305" spans="1:34" x14ac:dyDescent="0.2">
      <c r="A305" s="347">
        <f t="shared" ca="1" si="122"/>
        <v>0.1</v>
      </c>
      <c r="B305" s="304">
        <f t="shared" ca="1" si="123"/>
        <v>15.299999999999923</v>
      </c>
      <c r="D305" s="306">
        <f t="shared" ca="1" si="124"/>
        <v>-0.33569678890057336</v>
      </c>
      <c r="E305" s="307">
        <f t="shared" ca="1" si="125"/>
        <v>-9.8884705267407469</v>
      </c>
      <c r="F305" s="304">
        <f t="shared" ca="1" si="126"/>
        <v>9.8941670539918913</v>
      </c>
      <c r="G305" s="306">
        <f t="shared" ca="1" si="127"/>
        <v>21.201846849867071</v>
      </c>
      <c r="H305" s="307">
        <f t="shared" ca="1" si="128"/>
        <v>3.9750202694654062</v>
      </c>
      <c r="I305" s="304">
        <f t="shared" ca="1" si="129"/>
        <v>21.571256245009913</v>
      </c>
      <c r="J305" s="306">
        <f t="shared" ca="1" si="130"/>
        <v>441.20675937869822</v>
      </c>
      <c r="K305" s="307">
        <f t="shared" ca="1" si="131"/>
        <v>1494.8303467775438</v>
      </c>
      <c r="L305" s="304">
        <f t="shared" ca="1" si="116"/>
        <v>1558.5830648921233</v>
      </c>
      <c r="M305" s="306">
        <f t="shared" ca="1" si="132"/>
        <v>0.18533309546153873</v>
      </c>
      <c r="N305" s="304">
        <f t="shared" ca="1" si="133"/>
        <v>10.618804174041362</v>
      </c>
      <c r="P305" s="310">
        <f t="shared" ca="1" si="134"/>
        <v>23</v>
      </c>
      <c r="Q305" s="304">
        <f t="shared" ca="1" si="135"/>
        <v>0</v>
      </c>
      <c r="R305" s="306">
        <f t="shared" ca="1" si="136"/>
        <v>0</v>
      </c>
      <c r="S305" s="307">
        <f t="shared" ca="1" si="137"/>
        <v>2.9792999999999985</v>
      </c>
      <c r="T305" s="304">
        <f t="shared" ca="1" si="117"/>
        <v>29.226932999999988</v>
      </c>
      <c r="U305" s="311">
        <f t="shared" ca="1" si="118"/>
        <v>0</v>
      </c>
      <c r="V305" s="306">
        <f t="shared" ca="1" si="119"/>
        <v>1.0546178992566912</v>
      </c>
      <c r="W305" s="304">
        <f t="shared" ca="1" si="120"/>
        <v>1.0048908299582731</v>
      </c>
      <c r="Y305" s="314" t="str">
        <f t="shared" ca="1" si="138"/>
        <v/>
      </c>
      <c r="Z305" s="315" t="str">
        <f t="shared" ca="1" si="139"/>
        <v/>
      </c>
      <c r="AA305" s="316" t="str">
        <f t="shared" ca="1" si="140"/>
        <v/>
      </c>
      <c r="AC305" s="310" t="e">
        <f t="shared" ca="1" si="141"/>
        <v>#N/A</v>
      </c>
      <c r="AD305" s="323" t="e">
        <f t="shared" ca="1" si="142"/>
        <v>#N/A</v>
      </c>
      <c r="AE305" s="324">
        <f t="shared" ca="1" si="121"/>
        <v>1494.8303467775438</v>
      </c>
      <c r="AG305" s="306">
        <f t="shared" ca="1" si="143"/>
        <v>-2.5776811115876548</v>
      </c>
      <c r="AH305" s="304">
        <f t="shared" ca="1" si="144"/>
        <v>-0.34474622208970795</v>
      </c>
    </row>
    <row r="306" spans="1:34" x14ac:dyDescent="0.2">
      <c r="A306" s="347">
        <f t="shared" ca="1" si="122"/>
        <v>0.1</v>
      </c>
      <c r="B306" s="304">
        <f t="shared" ca="1" si="123"/>
        <v>15.399999999999922</v>
      </c>
      <c r="D306" s="306">
        <f t="shared" ca="1" si="124"/>
        <v>-0.3315147848392071</v>
      </c>
      <c r="E306" s="307">
        <f t="shared" ca="1" si="125"/>
        <v>-9.872153924546982</v>
      </c>
      <c r="F306" s="304">
        <f t="shared" ca="1" si="126"/>
        <v>9.8777186213475101</v>
      </c>
      <c r="G306" s="306">
        <f t="shared" ca="1" si="127"/>
        <v>21.168695371383151</v>
      </c>
      <c r="H306" s="307">
        <f t="shared" ca="1" si="128"/>
        <v>2.9878048770107082</v>
      </c>
      <c r="I306" s="304">
        <f t="shared" ca="1" si="129"/>
        <v>21.378508874790764</v>
      </c>
      <c r="J306" s="306">
        <f t="shared" ca="1" si="130"/>
        <v>443.32528648976074</v>
      </c>
      <c r="K306" s="307">
        <f t="shared" ca="1" si="131"/>
        <v>1495.1784880348675</v>
      </c>
      <c r="L306" s="304">
        <f t="shared" ca="1" si="116"/>
        <v>1559.5178808604476</v>
      </c>
      <c r="M306" s="306">
        <f t="shared" ca="1" si="132"/>
        <v>0.14021640881333236</v>
      </c>
      <c r="N306" s="304">
        <f t="shared" ca="1" si="133"/>
        <v>8.0338084434849044</v>
      </c>
      <c r="P306" s="310">
        <f t="shared" ca="1" si="134"/>
        <v>23</v>
      </c>
      <c r="Q306" s="304">
        <f t="shared" ca="1" si="135"/>
        <v>0</v>
      </c>
      <c r="R306" s="306">
        <f t="shared" ca="1" si="136"/>
        <v>0</v>
      </c>
      <c r="S306" s="307">
        <f t="shared" ca="1" si="137"/>
        <v>2.9792999999999985</v>
      </c>
      <c r="T306" s="304">
        <f t="shared" ca="1" si="117"/>
        <v>29.226932999999988</v>
      </c>
      <c r="U306" s="311">
        <f t="shared" ca="1" si="118"/>
        <v>0</v>
      </c>
      <c r="V306" s="306">
        <f t="shared" ca="1" si="119"/>
        <v>1.0545809779981818</v>
      </c>
      <c r="W306" s="304">
        <f t="shared" ca="1" si="120"/>
        <v>0.98697834427837616</v>
      </c>
      <c r="Y306" s="314" t="str">
        <f t="shared" ca="1" si="138"/>
        <v/>
      </c>
      <c r="Z306" s="315" t="str">
        <f t="shared" ca="1" si="139"/>
        <v/>
      </c>
      <c r="AA306" s="316" t="str">
        <f t="shared" ca="1" si="140"/>
        <v/>
      </c>
      <c r="AC306" s="310" t="e">
        <f t="shared" ca="1" si="141"/>
        <v>#N/A</v>
      </c>
      <c r="AD306" s="323" t="e">
        <f t="shared" ca="1" si="142"/>
        <v>#N/A</v>
      </c>
      <c r="AE306" s="324">
        <f t="shared" ca="1" si="121"/>
        <v>1495.1784880348675</v>
      </c>
      <c r="AG306" s="306">
        <f t="shared" ca="1" si="143"/>
        <v>-2.1450182188943239</v>
      </c>
      <c r="AH306" s="304">
        <f t="shared" ca="1" si="144"/>
        <v>-0.33729091731556859</v>
      </c>
    </row>
    <row r="307" spans="1:34" x14ac:dyDescent="0.2">
      <c r="A307" s="347">
        <f t="shared" ca="1" si="122"/>
        <v>0.1</v>
      </c>
      <c r="B307" s="304">
        <f t="shared" ca="1" si="123"/>
        <v>15.499999999999922</v>
      </c>
      <c r="D307" s="306">
        <f t="shared" ca="1" si="124"/>
        <v>-0.32802736092625673</v>
      </c>
      <c r="E307" s="307">
        <f t="shared" ca="1" si="125"/>
        <v>-9.8562986372836825</v>
      </c>
      <c r="F307" s="304">
        <f t="shared" ca="1" si="126"/>
        <v>9.861755664020297</v>
      </c>
      <c r="G307" s="306">
        <f t="shared" ca="1" si="127"/>
        <v>21.135892635290524</v>
      </c>
      <c r="H307" s="307">
        <f t="shared" ca="1" si="128"/>
        <v>2.0021750132823399</v>
      </c>
      <c r="I307" s="304">
        <f t="shared" ca="1" si="129"/>
        <v>21.230512529713934</v>
      </c>
      <c r="J307" s="306">
        <f t="shared" ca="1" si="130"/>
        <v>445.44051589009445</v>
      </c>
      <c r="K307" s="307">
        <f t="shared" ca="1" si="131"/>
        <v>1495.4279870293822</v>
      </c>
      <c r="L307" s="304">
        <f t="shared" ca="1" si="116"/>
        <v>1560.3596116239307</v>
      </c>
      <c r="M307" s="306">
        <f t="shared" ca="1" si="132"/>
        <v>9.4446836664661138E-2</v>
      </c>
      <c r="N307" s="304">
        <f t="shared" ca="1" si="133"/>
        <v>5.4114051292465239</v>
      </c>
      <c r="P307" s="310">
        <f t="shared" ca="1" si="134"/>
        <v>23</v>
      </c>
      <c r="Q307" s="304">
        <f t="shared" ca="1" si="135"/>
        <v>0</v>
      </c>
      <c r="R307" s="306">
        <f t="shared" ca="1" si="136"/>
        <v>0</v>
      </c>
      <c r="S307" s="307">
        <f t="shared" ca="1" si="137"/>
        <v>2.9792999999999985</v>
      </c>
      <c r="T307" s="304">
        <f t="shared" ca="1" si="117"/>
        <v>29.226932999999988</v>
      </c>
      <c r="U307" s="311">
        <f t="shared" ca="1" si="118"/>
        <v>0</v>
      </c>
      <c r="V307" s="306">
        <f t="shared" ca="1" si="119"/>
        <v>1.0545545187361345</v>
      </c>
      <c r="W307" s="304">
        <f t="shared" ca="1" si="120"/>
        <v>0.97333617294628128</v>
      </c>
      <c r="Y307" s="314" t="str">
        <f t="shared" ca="1" si="138"/>
        <v/>
      </c>
      <c r="Z307" s="315" t="str">
        <f t="shared" ca="1" si="139"/>
        <v>Para</v>
      </c>
      <c r="AA307" s="316" t="str">
        <f t="shared" ca="1" si="140"/>
        <v/>
      </c>
      <c r="AC307" s="310" t="e">
        <f t="shared" ca="1" si="141"/>
        <v>#N/A</v>
      </c>
      <c r="AD307" s="323" t="e">
        <f t="shared" ca="1" si="142"/>
        <v>#N/A</v>
      </c>
      <c r="AE307" s="324">
        <f t="shared" ca="1" si="121"/>
        <v>1495.4279870293822</v>
      </c>
      <c r="AG307" s="306">
        <f t="shared" ca="1" si="143"/>
        <v>-1.702298725688512</v>
      </c>
      <c r="AH307" s="304">
        <f t="shared" ca="1" si="144"/>
        <v>-0.33127860379229235</v>
      </c>
    </row>
    <row r="308" spans="1:34" x14ac:dyDescent="0.2">
      <c r="A308" s="347">
        <f t="shared" ca="1" si="122"/>
        <v>0.1</v>
      </c>
      <c r="B308" s="304">
        <f t="shared" ca="1" si="123"/>
        <v>15.599999999999921</v>
      </c>
      <c r="D308" s="306">
        <f t="shared" ca="1" si="124"/>
        <v>-0.32524358739546422</v>
      </c>
      <c r="E308" s="307">
        <f t="shared" ca="1" si="125"/>
        <v>-9.8408098926858774</v>
      </c>
      <c r="F308" s="304">
        <f t="shared" ca="1" si="126"/>
        <v>9.846183155676421</v>
      </c>
      <c r="G308" s="306">
        <f t="shared" ca="1" si="127"/>
        <v>21.103368276550977</v>
      </c>
      <c r="H308" s="307">
        <f t="shared" ca="1" si="128"/>
        <v>1.0180940240137522</v>
      </c>
      <c r="I308" s="304">
        <f t="shared" ca="1" si="129"/>
        <v>21.127912061002874</v>
      </c>
      <c r="J308" s="306">
        <f t="shared" ca="1" si="130"/>
        <v>447.55247893568651</v>
      </c>
      <c r="K308" s="307">
        <f t="shared" ca="1" si="131"/>
        <v>1495.579000481247</v>
      </c>
      <c r="L308" s="304">
        <f t="shared" ca="1" si="116"/>
        <v>1561.1085061846163</v>
      </c>
      <c r="M308" s="306">
        <f t="shared" ca="1" si="132"/>
        <v>4.8205825359692582E-2</v>
      </c>
      <c r="N308" s="304">
        <f t="shared" ca="1" si="133"/>
        <v>2.7619903410550983</v>
      </c>
      <c r="P308" s="310">
        <f t="shared" ca="1" si="134"/>
        <v>23</v>
      </c>
      <c r="Q308" s="304">
        <f t="shared" ca="1" si="135"/>
        <v>0</v>
      </c>
      <c r="R308" s="306">
        <f t="shared" ca="1" si="136"/>
        <v>0</v>
      </c>
      <c r="S308" s="307">
        <f t="shared" ca="1" si="137"/>
        <v>2.9792999999999985</v>
      </c>
      <c r="T308" s="304">
        <f t="shared" ca="1" si="117"/>
        <v>29.226932999999988</v>
      </c>
      <c r="U308" s="311">
        <f t="shared" ca="1" si="118"/>
        <v>0</v>
      </c>
      <c r="V308" s="306">
        <f t="shared" ca="1" si="119"/>
        <v>1.0545385041223116</v>
      </c>
      <c r="W308" s="304">
        <f t="shared" ca="1" si="120"/>
        <v>0.96393660396999525</v>
      </c>
      <c r="Y308" s="314" t="str">
        <f t="shared" ca="1" si="138"/>
        <v/>
      </c>
      <c r="Z308" s="315" t="str">
        <f t="shared" ca="1" si="139"/>
        <v/>
      </c>
      <c r="AA308" s="316" t="str">
        <f t="shared" ca="1" si="140"/>
        <v/>
      </c>
      <c r="AC308" s="310" t="e">
        <f t="shared" ca="1" si="141"/>
        <v>#N/A</v>
      </c>
      <c r="AD308" s="323" t="e">
        <f t="shared" ca="1" si="142"/>
        <v>#N/A</v>
      </c>
      <c r="AE308" s="324" t="e">
        <f t="shared" ca="1" si="121"/>
        <v>#N/A</v>
      </c>
      <c r="AG308" s="306">
        <f t="shared" ca="1" si="143"/>
        <v>-1.2518462370565626</v>
      </c>
      <c r="AH308" s="304">
        <f t="shared" ca="1" si="144"/>
        <v>-0.32669961834869993</v>
      </c>
    </row>
    <row r="309" spans="1:34" x14ac:dyDescent="0.2">
      <c r="A309" s="347">
        <f t="shared" ca="1" si="122"/>
        <v>0.1</v>
      </c>
      <c r="B309" s="304">
        <f t="shared" ca="1" si="123"/>
        <v>15.699999999999921</v>
      </c>
      <c r="D309" s="306">
        <f t="shared" ca="1" si="124"/>
        <v>-0.32316880546788307</v>
      </c>
      <c r="E309" s="307">
        <f t="shared" ca="1" si="125"/>
        <v>-9.8255906974319416</v>
      </c>
      <c r="F309" s="304">
        <f t="shared" ca="1" si="126"/>
        <v>9.8309038562224096</v>
      </c>
      <c r="G309" s="306">
        <f t="shared" ca="1" si="127"/>
        <v>21.07105139600419</v>
      </c>
      <c r="H309" s="307">
        <f t="shared" ca="1" si="128"/>
        <v>3.5534954270557972E-2</v>
      </c>
      <c r="I309" s="304">
        <f t="shared" ca="1" si="129"/>
        <v>21.071081359674572</v>
      </c>
      <c r="J309" s="306">
        <f t="shared" ca="1" si="130"/>
        <v>449.66119991931424</v>
      </c>
      <c r="K309" s="307">
        <f t="shared" ca="1" si="131"/>
        <v>1495.6316819301612</v>
      </c>
      <c r="L309" s="304">
        <f t="shared" ca="1" si="116"/>
        <v>1561.7648103047143</v>
      </c>
      <c r="M309" s="306">
        <f t="shared" ca="1" si="132"/>
        <v>1.6864331976086996E-3</v>
      </c>
      <c r="N309" s="304">
        <f t="shared" ca="1" si="133"/>
        <v>9.6625504653730446E-2</v>
      </c>
      <c r="P309" s="310">
        <f t="shared" ca="1" si="134"/>
        <v>23</v>
      </c>
      <c r="Q309" s="304">
        <f t="shared" ca="1" si="135"/>
        <v>0</v>
      </c>
      <c r="R309" s="306">
        <f t="shared" ca="1" si="136"/>
        <v>0</v>
      </c>
      <c r="S309" s="307">
        <f t="shared" ca="1" si="137"/>
        <v>2.9792999999999985</v>
      </c>
      <c r="T309" s="304">
        <f t="shared" ca="1" si="117"/>
        <v>29.226932999999988</v>
      </c>
      <c r="U309" s="311">
        <f t="shared" ca="1" si="118"/>
        <v>0</v>
      </c>
      <c r="V309" s="306">
        <f t="shared" ca="1" si="119"/>
        <v>1.0545329174341407</v>
      </c>
      <c r="W309" s="304">
        <f t="shared" ca="1" si="120"/>
        <v>0.95875282869652023</v>
      </c>
      <c r="Y309" s="314" t="str">
        <f t="shared" ca="1" si="138"/>
        <v>Apogée</v>
      </c>
      <c r="Z309" s="315" t="str">
        <f t="shared" ca="1" si="139"/>
        <v/>
      </c>
      <c r="AA309" s="316" t="str">
        <f t="shared" ca="1" si="140"/>
        <v/>
      </c>
      <c r="AC309" s="310" t="e">
        <f t="shared" ca="1" si="141"/>
        <v>#N/A</v>
      </c>
      <c r="AD309" s="323" t="e">
        <f t="shared" ca="1" si="142"/>
        <v>#N/A</v>
      </c>
      <c r="AE309" s="324" t="e">
        <f t="shared" ca="1" si="121"/>
        <v>#N/A</v>
      </c>
      <c r="AG309" s="306">
        <f t="shared" ca="1" si="143"/>
        <v>-0.79626067356623698</v>
      </c>
      <c r="AH309" s="304">
        <f t="shared" ca="1" si="144"/>
        <v>-0.32354465947370042</v>
      </c>
    </row>
    <row r="310" spans="1:34" x14ac:dyDescent="0.2">
      <c r="A310" s="347">
        <f t="shared" ca="1" si="122"/>
        <v>0.1</v>
      </c>
      <c r="B310" s="304">
        <f t="shared" ca="1" si="123"/>
        <v>15.799999999999921</v>
      </c>
      <c r="D310" s="306">
        <f t="shared" ca="1" si="124"/>
        <v>-0.32180427124594052</v>
      </c>
      <c r="E310" s="307">
        <f t="shared" ca="1" si="125"/>
        <v>-9.810542701920653</v>
      </c>
      <c r="F310" s="304">
        <f t="shared" ca="1" si="126"/>
        <v>9.8158191759628863</v>
      </c>
      <c r="G310" s="306">
        <f t="shared" ca="1" si="127"/>
        <v>21.038870968879596</v>
      </c>
      <c r="H310" s="307">
        <f t="shared" ca="1" si="128"/>
        <v>-0.9455193159215074</v>
      </c>
      <c r="I310" s="304">
        <f t="shared" ca="1" si="129"/>
        <v>21.060106799870351</v>
      </c>
      <c r="J310" s="306">
        <f t="shared" ca="1" si="130"/>
        <v>451.7666960375584</v>
      </c>
      <c r="K310" s="307">
        <f t="shared" ca="1" si="131"/>
        <v>1495.5861827120787</v>
      </c>
      <c r="L310" s="304">
        <f t="shared" ca="1" si="116"/>
        <v>1562.3287674391645</v>
      </c>
      <c r="M310" s="306">
        <f t="shared" ca="1" si="132"/>
        <v>-4.4911322437084483E-2</v>
      </c>
      <c r="N310" s="304">
        <f t="shared" ca="1" si="133"/>
        <v>-2.5732292279961397</v>
      </c>
      <c r="P310" s="310">
        <f t="shared" ca="1" si="134"/>
        <v>23</v>
      </c>
      <c r="Q310" s="304">
        <f t="shared" ca="1" si="135"/>
        <v>0</v>
      </c>
      <c r="R310" s="306">
        <f t="shared" ca="1" si="136"/>
        <v>0</v>
      </c>
      <c r="S310" s="307">
        <f t="shared" ca="1" si="137"/>
        <v>2.9792999999999985</v>
      </c>
      <c r="T310" s="304">
        <f t="shared" ca="1" si="117"/>
        <v>29.226932999999988</v>
      </c>
      <c r="U310" s="311">
        <f t="shared" ca="1" si="118"/>
        <v>0</v>
      </c>
      <c r="V310" s="306">
        <f t="shared" ca="1" si="119"/>
        <v>1.0545377424695899</v>
      </c>
      <c r="W310" s="304">
        <f t="shared" ca="1" si="120"/>
        <v>0.95775876665491078</v>
      </c>
      <c r="Y310" s="314" t="str">
        <f t="shared" ca="1" si="138"/>
        <v/>
      </c>
      <c r="Z310" s="315" t="str">
        <f t="shared" ca="1" si="139"/>
        <v/>
      </c>
      <c r="AA310" s="316" t="str">
        <f t="shared" ca="1" si="140"/>
        <v/>
      </c>
      <c r="AC310" s="310" t="e">
        <f t="shared" ca="1" si="141"/>
        <v>#N/A</v>
      </c>
      <c r="AD310" s="323" t="e">
        <f t="shared" ca="1" si="142"/>
        <v>#N/A</v>
      </c>
      <c r="AE310" s="324" t="e">
        <f t="shared" ca="1" si="121"/>
        <v>#N/A</v>
      </c>
      <c r="AG310" s="306">
        <f t="shared" ca="1" si="143"/>
        <v>-0.33834863068788895</v>
      </c>
      <c r="AH310" s="304">
        <f t="shared" ca="1" si="144"/>
        <v>-0.32180472886131667</v>
      </c>
    </row>
    <row r="311" spans="1:34" x14ac:dyDescent="0.2">
      <c r="A311" s="347">
        <f t="shared" ca="1" si="122"/>
        <v>0.1</v>
      </c>
      <c r="B311" s="304">
        <f t="shared" ca="1" si="123"/>
        <v>15.89999999999992</v>
      </c>
      <c r="D311" s="306">
        <f t="shared" ca="1" si="124"/>
        <v>-0.32114691921258642</v>
      </c>
      <c r="E311" s="307">
        <f t="shared" ca="1" si="125"/>
        <v>-9.7955671620490783</v>
      </c>
      <c r="F311" s="304">
        <f t="shared" ca="1" si="126"/>
        <v>9.800830136775863</v>
      </c>
      <c r="G311" s="306">
        <f t="shared" ca="1" si="127"/>
        <v>21.006756276958338</v>
      </c>
      <c r="H311" s="307">
        <f t="shared" ca="1" si="128"/>
        <v>-1.9250760321264153</v>
      </c>
      <c r="I311" s="304">
        <f t="shared" ca="1" si="129"/>
        <v>21.094779615084775</v>
      </c>
      <c r="J311" s="306">
        <f t="shared" ca="1" si="130"/>
        <v>453.86897739985028</v>
      </c>
      <c r="K311" s="307">
        <f t="shared" ca="1" si="131"/>
        <v>1495.4426529446762</v>
      </c>
      <c r="L311" s="304">
        <f t="shared" ca="1" si="116"/>
        <v>1562.8006196864003</v>
      </c>
      <c r="M311" s="306">
        <f t="shared" ca="1" si="132"/>
        <v>-9.1385554521453582E-2</v>
      </c>
      <c r="N311" s="304">
        <f t="shared" ca="1" si="133"/>
        <v>-5.2360065825419682</v>
      </c>
      <c r="P311" s="310">
        <f t="shared" ca="1" si="134"/>
        <v>23</v>
      </c>
      <c r="Q311" s="304">
        <f t="shared" ca="1" si="135"/>
        <v>0</v>
      </c>
      <c r="R311" s="306">
        <f t="shared" ca="1" si="136"/>
        <v>0</v>
      </c>
      <c r="S311" s="307">
        <f t="shared" ca="1" si="137"/>
        <v>2.9792999999999985</v>
      </c>
      <c r="T311" s="304">
        <f t="shared" ca="1" si="117"/>
        <v>29.226932999999988</v>
      </c>
      <c r="U311" s="311">
        <f t="shared" ca="1" si="118"/>
        <v>0</v>
      </c>
      <c r="V311" s="306">
        <f t="shared" ca="1" si="119"/>
        <v>1.0545529634411812</v>
      </c>
      <c r="W311" s="304">
        <f t="shared" ca="1" si="120"/>
        <v>0.96092889087811473</v>
      </c>
      <c r="Y311" s="314" t="str">
        <f t="shared" ca="1" si="138"/>
        <v/>
      </c>
      <c r="Z311" s="315" t="str">
        <f t="shared" ca="1" si="139"/>
        <v/>
      </c>
      <c r="AA311" s="316" t="str">
        <f t="shared" ca="1" si="140"/>
        <v/>
      </c>
      <c r="AC311" s="310" t="e">
        <f t="shared" ca="1" si="141"/>
        <v>#N/A</v>
      </c>
      <c r="AD311" s="323" t="e">
        <f t="shared" ca="1" si="142"/>
        <v>#N/A</v>
      </c>
      <c r="AE311" s="324" t="e">
        <f t="shared" ca="1" si="121"/>
        <v>#N/A</v>
      </c>
      <c r="AG311" s="306">
        <f t="shared" ca="1" si="143"/>
        <v>0.11896090511622881</v>
      </c>
      <c r="AH311" s="304">
        <f t="shared" ca="1" si="144"/>
        <v>-0.32147107261937746</v>
      </c>
    </row>
    <row r="312" spans="1:34" x14ac:dyDescent="0.2">
      <c r="A312" s="347">
        <f t="shared" ca="1" si="122"/>
        <v>0.1</v>
      </c>
      <c r="B312" s="304">
        <f t="shared" ca="1" si="123"/>
        <v>15.99999999999992</v>
      </c>
      <c r="D312" s="306">
        <f t="shared" ca="1" si="124"/>
        <v>-0.32118926273064535</v>
      </c>
      <c r="E312" s="307">
        <f t="shared" ca="1" si="125"/>
        <v>-9.7805659577658197</v>
      </c>
      <c r="F312" s="304">
        <f t="shared" ca="1" si="126"/>
        <v>9.7858383900768082</v>
      </c>
      <c r="G312" s="306">
        <f t="shared" ca="1" si="127"/>
        <v>20.974637350685274</v>
      </c>
      <c r="H312" s="307">
        <f t="shared" ca="1" si="128"/>
        <v>-2.9031326279029974</v>
      </c>
      <c r="I312" s="304">
        <f t="shared" ca="1" si="129"/>
        <v>21.174597777713672</v>
      </c>
      <c r="J312" s="306">
        <f t="shared" ca="1" si="130"/>
        <v>455.96804708123244</v>
      </c>
      <c r="K312" s="307">
        <f t="shared" ca="1" si="131"/>
        <v>1495.2012425116748</v>
      </c>
      <c r="L312" s="304">
        <f t="shared" ca="1" si="116"/>
        <v>1563.1806087485634</v>
      </c>
      <c r="M312" s="306">
        <f t="shared" ca="1" si="132"/>
        <v>-0.13753771427429407</v>
      </c>
      <c r="N312" s="304">
        <f t="shared" ca="1" si="133"/>
        <v>-7.8803305517932678</v>
      </c>
      <c r="P312" s="310">
        <f t="shared" ca="1" si="134"/>
        <v>23</v>
      </c>
      <c r="Q312" s="304">
        <f t="shared" ca="1" si="135"/>
        <v>0</v>
      </c>
      <c r="R312" s="306">
        <f t="shared" ca="1" si="136"/>
        <v>0</v>
      </c>
      <c r="S312" s="307">
        <f t="shared" ca="1" si="137"/>
        <v>2.9792999999999985</v>
      </c>
      <c r="T312" s="304">
        <f t="shared" ca="1" si="117"/>
        <v>29.226932999999988</v>
      </c>
      <c r="U312" s="311">
        <f t="shared" ca="1" si="118"/>
        <v>0</v>
      </c>
      <c r="V312" s="306">
        <f t="shared" ca="1" si="119"/>
        <v>1.0545785648701582</v>
      </c>
      <c r="W312" s="304">
        <f t="shared" ca="1" si="120"/>
        <v>0.96823805530929397</v>
      </c>
      <c r="Y312" s="314" t="str">
        <f t="shared" ca="1" si="138"/>
        <v/>
      </c>
      <c r="Z312" s="315" t="str">
        <f t="shared" ca="1" si="139"/>
        <v/>
      </c>
      <c r="AA312" s="316" t="str">
        <f t="shared" ca="1" si="140"/>
        <v/>
      </c>
      <c r="AC312" s="310">
        <f t="shared" ca="1" si="141"/>
        <v>15.99999999999992</v>
      </c>
      <c r="AD312" s="323">
        <f t="shared" ca="1" si="142"/>
        <v>455.96804708123244</v>
      </c>
      <c r="AE312" s="324" t="e">
        <f t="shared" ca="1" si="121"/>
        <v>#N/A</v>
      </c>
      <c r="AG312" s="306">
        <f t="shared" ca="1" si="143"/>
        <v>0.57270987255674943</v>
      </c>
      <c r="AH312" s="304">
        <f t="shared" ca="1" si="144"/>
        <v>-0.3225351226389136</v>
      </c>
    </row>
    <row r="313" spans="1:34" x14ac:dyDescent="0.2">
      <c r="A313" s="347">
        <f t="shared" ca="1" si="122"/>
        <v>0.1</v>
      </c>
      <c r="B313" s="304">
        <f t="shared" ca="1" si="123"/>
        <v>16.09999999999992</v>
      </c>
      <c r="D313" s="306">
        <f t="shared" ca="1" si="124"/>
        <v>-0.32191943930574241</v>
      </c>
      <c r="E313" s="307">
        <f t="shared" ca="1" si="125"/>
        <v>-9.7654426228125377</v>
      </c>
      <c r="F313" s="304">
        <f t="shared" ca="1" si="126"/>
        <v>9.7707472459810738</v>
      </c>
      <c r="G313" s="306">
        <f t="shared" ca="1" si="127"/>
        <v>20.9424454067547</v>
      </c>
      <c r="H313" s="307">
        <f t="shared" ca="1" si="128"/>
        <v>-3.8796768901842511</v>
      </c>
      <c r="I313" s="304">
        <f t="shared" ca="1" si="129"/>
        <v>21.298777250986284</v>
      </c>
      <c r="J313" s="306">
        <f t="shared" ca="1" si="130"/>
        <v>458.06390121910442</v>
      </c>
      <c r="K313" s="307">
        <f t="shared" ca="1" si="131"/>
        <v>1494.8621020357705</v>
      </c>
      <c r="L313" s="304">
        <f t="shared" ca="1" si="116"/>
        <v>1563.4689768917283</v>
      </c>
      <c r="M313" s="306">
        <f t="shared" ca="1" si="132"/>
        <v>-0.18317758544979454</v>
      </c>
      <c r="N313" s="304">
        <f t="shared" ca="1" si="133"/>
        <v>-10.495302547670224</v>
      </c>
      <c r="P313" s="310">
        <f t="shared" ca="1" si="134"/>
        <v>23</v>
      </c>
      <c r="Q313" s="304">
        <f t="shared" ca="1" si="135"/>
        <v>0</v>
      </c>
      <c r="R313" s="306">
        <f t="shared" ca="1" si="136"/>
        <v>0</v>
      </c>
      <c r="S313" s="307">
        <f t="shared" ca="1" si="137"/>
        <v>2.9792999999999985</v>
      </c>
      <c r="T313" s="304">
        <f t="shared" ca="1" si="117"/>
        <v>29.226932999999988</v>
      </c>
      <c r="U313" s="311">
        <f t="shared" ca="1" si="118"/>
        <v>0</v>
      </c>
      <c r="V313" s="306">
        <f t="shared" ca="1" si="119"/>
        <v>1.0546145314818851</v>
      </c>
      <c r="W313" s="304">
        <f t="shared" ca="1" si="120"/>
        <v>0.97966132594925981</v>
      </c>
      <c r="Y313" s="314" t="str">
        <f t="shared" ca="1" si="138"/>
        <v/>
      </c>
      <c r="Z313" s="315" t="str">
        <f t="shared" ca="1" si="139"/>
        <v/>
      </c>
      <c r="AA313" s="316" t="str">
        <f t="shared" ca="1" si="140"/>
        <v/>
      </c>
      <c r="AC313" s="310" t="e">
        <f t="shared" ca="1" si="141"/>
        <v>#N/A</v>
      </c>
      <c r="AD313" s="323" t="e">
        <f t="shared" ca="1" si="142"/>
        <v>#N/A</v>
      </c>
      <c r="AE313" s="324" t="e">
        <f t="shared" ca="1" si="121"/>
        <v>#N/A</v>
      </c>
      <c r="AG313" s="306">
        <f t="shared" ca="1" si="143"/>
        <v>1.0200067002623314</v>
      </c>
      <c r="AH313" s="304">
        <f t="shared" ca="1" si="144"/>
        <v>-0.32498843866320759</v>
      </c>
    </row>
    <row r="314" spans="1:34" x14ac:dyDescent="0.2">
      <c r="A314" s="347">
        <f t="shared" ca="1" si="122"/>
        <v>0.1</v>
      </c>
      <c r="B314" s="304">
        <f t="shared" ca="1" si="123"/>
        <v>16.199999999999921</v>
      </c>
      <c r="D314" s="306">
        <f t="shared" ca="1" si="124"/>
        <v>-0.32332139769109008</v>
      </c>
      <c r="E314" s="307">
        <f t="shared" ca="1" si="125"/>
        <v>-9.7501033389195513</v>
      </c>
      <c r="F314" s="304">
        <f t="shared" ca="1" si="126"/>
        <v>9.7554626669274427</v>
      </c>
      <c r="G314" s="306">
        <f t="shared" ca="1" si="127"/>
        <v>20.91011326698559</v>
      </c>
      <c r="H314" s="307">
        <f t="shared" ca="1" si="128"/>
        <v>-4.8546872240762067</v>
      </c>
      <c r="I314" s="304">
        <f t="shared" ca="1" si="129"/>
        <v>21.466271797444836</v>
      </c>
      <c r="J314" s="306">
        <f t="shared" ca="1" si="130"/>
        <v>460.15652915279145</v>
      </c>
      <c r="K314" s="307">
        <f t="shared" ca="1" si="131"/>
        <v>1494.4253838300574</v>
      </c>
      <c r="L314" s="304">
        <f t="shared" ca="1" si="116"/>
        <v>1563.6659678964552</v>
      </c>
      <c r="M314" s="306">
        <f t="shared" ca="1" si="132"/>
        <v>-0.22812775804939059</v>
      </c>
      <c r="N314" s="304">
        <f t="shared" ca="1" si="133"/>
        <v>-13.070757726011674</v>
      </c>
      <c r="P314" s="310">
        <f t="shared" ca="1" si="134"/>
        <v>23</v>
      </c>
      <c r="Q314" s="304">
        <f t="shared" ca="1" si="135"/>
        <v>0</v>
      </c>
      <c r="R314" s="306">
        <f t="shared" ca="1" si="136"/>
        <v>0</v>
      </c>
      <c r="S314" s="307">
        <f t="shared" ca="1" si="137"/>
        <v>2.9792999999999985</v>
      </c>
      <c r="T314" s="304">
        <f t="shared" ca="1" si="117"/>
        <v>29.226932999999988</v>
      </c>
      <c r="U314" s="311">
        <f t="shared" ca="1" si="118"/>
        <v>0</v>
      </c>
      <c r="V314" s="306">
        <f t="shared" ca="1" si="119"/>
        <v>1.0546608481035267</v>
      </c>
      <c r="W314" s="304">
        <f t="shared" ca="1" si="120"/>
        <v>0.99517381737398991</v>
      </c>
      <c r="Y314" s="314" t="str">
        <f t="shared" ca="1" si="138"/>
        <v/>
      </c>
      <c r="Z314" s="315" t="str">
        <f t="shared" ca="1" si="139"/>
        <v/>
      </c>
      <c r="AA314" s="316" t="str">
        <f t="shared" ca="1" si="140"/>
        <v/>
      </c>
      <c r="AC314" s="310" t="e">
        <f t="shared" ca="1" si="141"/>
        <v>#N/A</v>
      </c>
      <c r="AD314" s="323" t="e">
        <f t="shared" ca="1" si="142"/>
        <v>#N/A</v>
      </c>
      <c r="AE314" s="324" t="e">
        <f t="shared" ca="1" si="121"/>
        <v>#N/A</v>
      </c>
      <c r="AG314" s="306">
        <f t="shared" ca="1" si="143"/>
        <v>1.458117032492797</v>
      </c>
      <c r="AH314" s="304">
        <f t="shared" ca="1" si="144"/>
        <v>-0.32882265161254665</v>
      </c>
    </row>
    <row r="315" spans="1:34" x14ac:dyDescent="0.2">
      <c r="A315" s="347">
        <f t="shared" ca="1" si="122"/>
        <v>0.1</v>
      </c>
      <c r="B315" s="304">
        <f t="shared" ca="1" si="123"/>
        <v>16.299999999999923</v>
      </c>
      <c r="D315" s="306">
        <f t="shared" ca="1" si="124"/>
        <v>-0.32537521357070492</v>
      </c>
      <c r="E315" s="307">
        <f t="shared" ca="1" si="125"/>
        <v>-9.7344578509841586</v>
      </c>
      <c r="F315" s="304">
        <f t="shared" ca="1" si="126"/>
        <v>9.7398941822893175</v>
      </c>
      <c r="G315" s="306">
        <f t="shared" ca="1" si="127"/>
        <v>20.877575745628519</v>
      </c>
      <c r="H315" s="307">
        <f t="shared" ca="1" si="128"/>
        <v>-5.8281330091746231</v>
      </c>
      <c r="I315" s="304">
        <f t="shared" ca="1" si="129"/>
        <v>21.675799948031607</v>
      </c>
      <c r="J315" s="306">
        <f t="shared" ca="1" si="130"/>
        <v>462.24591360342214</v>
      </c>
      <c r="K315" s="307">
        <f t="shared" ca="1" si="131"/>
        <v>1493.8912428183949</v>
      </c>
      <c r="L315" s="304">
        <f t="shared" ca="1" si="116"/>
        <v>1563.7718279891574</v>
      </c>
      <c r="M315" s="306">
        <f t="shared" ca="1" si="132"/>
        <v>-0.27222733376462344</v>
      </c>
      <c r="N315" s="304">
        <f t="shared" ca="1" si="133"/>
        <v>-15.597477292812135</v>
      </c>
      <c r="P315" s="310">
        <f t="shared" ca="1" si="134"/>
        <v>23</v>
      </c>
      <c r="Q315" s="304">
        <f t="shared" ca="1" si="135"/>
        <v>0</v>
      </c>
      <c r="R315" s="306">
        <f t="shared" ca="1" si="136"/>
        <v>0</v>
      </c>
      <c r="S315" s="307">
        <f t="shared" ca="1" si="137"/>
        <v>2.9792999999999985</v>
      </c>
      <c r="T315" s="304">
        <f t="shared" ca="1" si="117"/>
        <v>29.226932999999988</v>
      </c>
      <c r="U315" s="311">
        <f t="shared" ca="1" si="118"/>
        <v>0</v>
      </c>
      <c r="V315" s="306">
        <f t="shared" ca="1" si="119"/>
        <v>1.0547174995650002</v>
      </c>
      <c r="W315" s="304">
        <f t="shared" ca="1" si="120"/>
        <v>1.0147505361476885</v>
      </c>
      <c r="Y315" s="314" t="str">
        <f t="shared" ca="1" si="138"/>
        <v/>
      </c>
      <c r="Z315" s="315" t="str">
        <f t="shared" ca="1" si="139"/>
        <v/>
      </c>
      <c r="AA315" s="316" t="str">
        <f t="shared" ca="1" si="140"/>
        <v/>
      </c>
      <c r="AC315" s="310" t="e">
        <f t="shared" ca="1" si="141"/>
        <v>#N/A</v>
      </c>
      <c r="AD315" s="323" t="e">
        <f t="shared" ca="1" si="142"/>
        <v>#N/A</v>
      </c>
      <c r="AE315" s="324" t="e">
        <f t="shared" ca="1" si="121"/>
        <v>#N/A</v>
      </c>
      <c r="AG315" s="306">
        <f t="shared" ca="1" si="143"/>
        <v>1.8845431556150971</v>
      </c>
      <c r="AH315" s="304">
        <f t="shared" ca="1" si="144"/>
        <v>-0.33402940871143905</v>
      </c>
    </row>
    <row r="316" spans="1:34" x14ac:dyDescent="0.2">
      <c r="A316" s="347">
        <f t="shared" ca="1" si="122"/>
        <v>0.1</v>
      </c>
      <c r="B316" s="304">
        <f t="shared" ca="1" si="123"/>
        <v>16.399999999999924</v>
      </c>
      <c r="D316" s="306">
        <f t="shared" ca="1" si="124"/>
        <v>-0.32805751189144883</v>
      </c>
      <c r="E316" s="307">
        <f t="shared" ca="1" si="125"/>
        <v>-9.7184202669286162</v>
      </c>
      <c r="F316" s="304">
        <f t="shared" ca="1" si="126"/>
        <v>9.7239556876693598</v>
      </c>
      <c r="G316" s="306">
        <f t="shared" ca="1" si="127"/>
        <v>20.844769994439375</v>
      </c>
      <c r="H316" s="307">
        <f t="shared" ca="1" si="128"/>
        <v>-6.7999750358674849</v>
      </c>
      <c r="I316" s="304">
        <f t="shared" ca="1" si="129"/>
        <v>21.925877328159554</v>
      </c>
      <c r="J316" s="306">
        <f t="shared" ca="1" si="130"/>
        <v>464.33203089042553</v>
      </c>
      <c r="K316" s="307">
        <f t="shared" ca="1" si="131"/>
        <v>1493.2598374161428</v>
      </c>
      <c r="L316" s="304">
        <f t="shared" ca="1" si="116"/>
        <v>1563.7868067453801</v>
      </c>
      <c r="M316" s="306">
        <f t="shared" ca="1" si="132"/>
        <v>-0.31533469847558293</v>
      </c>
      <c r="N316" s="304">
        <f t="shared" ca="1" si="133"/>
        <v>-18.067347356681296</v>
      </c>
      <c r="P316" s="310">
        <f t="shared" ca="1" si="134"/>
        <v>23</v>
      </c>
      <c r="Q316" s="304">
        <f t="shared" ca="1" si="135"/>
        <v>0</v>
      </c>
      <c r="R316" s="306">
        <f t="shared" ca="1" si="136"/>
        <v>0</v>
      </c>
      <c r="S316" s="307">
        <f t="shared" ca="1" si="137"/>
        <v>2.9792999999999985</v>
      </c>
      <c r="T316" s="304">
        <f t="shared" ca="1" si="117"/>
        <v>29.226932999999988</v>
      </c>
      <c r="U316" s="311">
        <f t="shared" ca="1" si="118"/>
        <v>0</v>
      </c>
      <c r="V316" s="306">
        <f t="shared" ca="1" si="119"/>
        <v>1.0547844706040943</v>
      </c>
      <c r="W316" s="304">
        <f t="shared" ca="1" si="120"/>
        <v>1.0383662324871934</v>
      </c>
      <c r="Y316" s="314" t="str">
        <f t="shared" ca="1" si="138"/>
        <v/>
      </c>
      <c r="Z316" s="315" t="str">
        <f t="shared" ca="1" si="139"/>
        <v/>
      </c>
      <c r="AA316" s="316" t="str">
        <f t="shared" ca="1" si="140"/>
        <v/>
      </c>
      <c r="AC316" s="310" t="e">
        <f t="shared" ca="1" si="141"/>
        <v>#N/A</v>
      </c>
      <c r="AD316" s="323" t="e">
        <f t="shared" ca="1" si="142"/>
        <v>#N/A</v>
      </c>
      <c r="AE316" s="324" t="e">
        <f t="shared" ca="1" si="121"/>
        <v>#N/A</v>
      </c>
      <c r="AG316" s="306">
        <f t="shared" ca="1" si="143"/>
        <v>2.297087098084412</v>
      </c>
      <c r="AH316" s="304">
        <f t="shared" ca="1" si="144"/>
        <v>-0.3406003209303155</v>
      </c>
    </row>
    <row r="317" spans="1:34" x14ac:dyDescent="0.2">
      <c r="A317" s="347">
        <f t="shared" ca="1" si="122"/>
        <v>0.1</v>
      </c>
      <c r="B317" s="304">
        <f t="shared" ca="1" si="123"/>
        <v>16.499999999999925</v>
      </c>
      <c r="D317" s="306">
        <f t="shared" ca="1" si="124"/>
        <v>-0.33134196792794079</v>
      </c>
      <c r="E317" s="307">
        <f t="shared" ca="1" si="125"/>
        <v>-9.7019097159217278</v>
      </c>
      <c r="F317" s="304">
        <f t="shared" ca="1" si="126"/>
        <v>9.7075661025617936</v>
      </c>
      <c r="G317" s="306">
        <f t="shared" ca="1" si="127"/>
        <v>20.811635797646581</v>
      </c>
      <c r="H317" s="307">
        <f t="shared" ca="1" si="128"/>
        <v>-7.7701660074596575</v>
      </c>
      <c r="I317" s="304">
        <f t="shared" ca="1" si="129"/>
        <v>22.214852337059686</v>
      </c>
      <c r="J317" s="306">
        <f t="shared" ca="1" si="130"/>
        <v>466.41485118002981</v>
      </c>
      <c r="K317" s="307">
        <f t="shared" ca="1" si="131"/>
        <v>1492.5313303639764</v>
      </c>
      <c r="L317" s="304">
        <f t="shared" ca="1" si="116"/>
        <v>1563.7111579570412</v>
      </c>
      <c r="M317" s="306">
        <f t="shared" ca="1" si="132"/>
        <v>-0.35732928998968105</v>
      </c>
      <c r="N317" s="304">
        <f t="shared" ca="1" si="133"/>
        <v>-20.47346021281502</v>
      </c>
      <c r="P317" s="310">
        <f t="shared" ca="1" si="134"/>
        <v>23</v>
      </c>
      <c r="Q317" s="304">
        <f t="shared" ca="1" si="135"/>
        <v>0</v>
      </c>
      <c r="R317" s="306">
        <f t="shared" ca="1" si="136"/>
        <v>0</v>
      </c>
      <c r="S317" s="307">
        <f t="shared" ca="1" si="137"/>
        <v>2.9792999999999985</v>
      </c>
      <c r="T317" s="304">
        <f t="shared" ca="1" si="117"/>
        <v>29.226932999999988</v>
      </c>
      <c r="U317" s="311">
        <f t="shared" ca="1" si="118"/>
        <v>0</v>
      </c>
      <c r="V317" s="306">
        <f t="shared" ca="1" si="119"/>
        <v>1.0548617457765121</v>
      </c>
      <c r="W317" s="304">
        <f t="shared" ca="1" si="120"/>
        <v>1.0659952613128991</v>
      </c>
      <c r="Y317" s="314" t="str">
        <f t="shared" ca="1" si="138"/>
        <v/>
      </c>
      <c r="Z317" s="315" t="str">
        <f t="shared" ca="1" si="139"/>
        <v/>
      </c>
      <c r="AA317" s="316" t="str">
        <f t="shared" ca="1" si="140"/>
        <v/>
      </c>
      <c r="AC317" s="310" t="e">
        <f t="shared" ca="1" si="141"/>
        <v>#N/A</v>
      </c>
      <c r="AD317" s="323" t="e">
        <f t="shared" ca="1" si="142"/>
        <v>#N/A</v>
      </c>
      <c r="AE317" s="324" t="e">
        <f t="shared" ca="1" si="121"/>
        <v>#N/A</v>
      </c>
      <c r="AG317" s="306">
        <f t="shared" ca="1" si="143"/>
        <v>2.6938943365192629</v>
      </c>
      <c r="AH317" s="304">
        <f t="shared" ca="1" si="144"/>
        <v>-0.34852691319678913</v>
      </c>
    </row>
    <row r="318" spans="1:34" x14ac:dyDescent="0.2">
      <c r="A318" s="347">
        <f t="shared" ca="1" si="122"/>
        <v>0.1</v>
      </c>
      <c r="B318" s="304">
        <f t="shared" ca="1" si="123"/>
        <v>16.599999999999927</v>
      </c>
      <c r="D318" s="306">
        <f t="shared" ca="1" si="124"/>
        <v>-0.33519985636159616</v>
      </c>
      <c r="E318" s="307">
        <f t="shared" ca="1" si="125"/>
        <v>-9.6848508500278125</v>
      </c>
      <c r="F318" s="304">
        <f t="shared" ca="1" si="126"/>
        <v>9.6906498714476967</v>
      </c>
      <c r="G318" s="306">
        <f t="shared" ca="1" si="127"/>
        <v>20.778115812010419</v>
      </c>
      <c r="H318" s="307">
        <f t="shared" ca="1" si="128"/>
        <v>-8.7386510924624385</v>
      </c>
      <c r="I318" s="304">
        <f t="shared" ca="1" si="129"/>
        <v>22.540943183751484</v>
      </c>
      <c r="J318" s="306">
        <f t="shared" ca="1" si="130"/>
        <v>468.49433876051268</v>
      </c>
      <c r="K318" s="307">
        <f t="shared" ca="1" si="131"/>
        <v>1491.7058895089804</v>
      </c>
      <c r="L318" s="304">
        <f t="shared" ca="1" si="116"/>
        <v>1563.5451404569133</v>
      </c>
      <c r="M318" s="306">
        <f t="shared" ca="1" si="132"/>
        <v>-0.39811237802858296</v>
      </c>
      <c r="N318" s="304">
        <f t="shared" ca="1" si="133"/>
        <v>-22.810159032954569</v>
      </c>
      <c r="P318" s="310">
        <f t="shared" ca="1" si="134"/>
        <v>23</v>
      </c>
      <c r="Q318" s="304">
        <f t="shared" ca="1" si="135"/>
        <v>0</v>
      </c>
      <c r="R318" s="306">
        <f t="shared" ca="1" si="136"/>
        <v>0</v>
      </c>
      <c r="S318" s="307">
        <f t="shared" ca="1" si="137"/>
        <v>2.9792999999999985</v>
      </c>
      <c r="T318" s="304">
        <f t="shared" ca="1" si="117"/>
        <v>29.226932999999988</v>
      </c>
      <c r="U318" s="311">
        <f t="shared" ca="1" si="118"/>
        <v>0</v>
      </c>
      <c r="V318" s="306">
        <f t="shared" ca="1" si="119"/>
        <v>1.0549493093714351</v>
      </c>
      <c r="W318" s="304">
        <f t="shared" ca="1" si="120"/>
        <v>1.0976114535682362</v>
      </c>
      <c r="Y318" s="314" t="str">
        <f t="shared" ca="1" si="138"/>
        <v/>
      </c>
      <c r="Z318" s="315" t="str">
        <f t="shared" ca="1" si="139"/>
        <v/>
      </c>
      <c r="AA318" s="316" t="str">
        <f t="shared" ca="1" si="140"/>
        <v/>
      </c>
      <c r="AC318" s="310" t="e">
        <f t="shared" ca="1" si="141"/>
        <v>#N/A</v>
      </c>
      <c r="AD318" s="323" t="e">
        <f t="shared" ca="1" si="142"/>
        <v>#N/A</v>
      </c>
      <c r="AE318" s="324" t="e">
        <f t="shared" ca="1" si="121"/>
        <v>#N/A</v>
      </c>
      <c r="AG318" s="306">
        <f t="shared" ca="1" si="143"/>
        <v>3.0734771717694382</v>
      </c>
      <c r="AH318" s="304">
        <f t="shared" ca="1" si="144"/>
        <v>-0.35780057775749324</v>
      </c>
    </row>
    <row r="319" spans="1:34" x14ac:dyDescent="0.2">
      <c r="A319" s="347">
        <f t="shared" ca="1" si="122"/>
        <v>0.1</v>
      </c>
      <c r="B319" s="304">
        <f t="shared" ca="1" si="123"/>
        <v>16.699999999999928</v>
      </c>
      <c r="D319" s="306">
        <f t="shared" ca="1" si="124"/>
        <v>-0.33960061799687591</v>
      </c>
      <c r="E319" s="307">
        <f t="shared" ca="1" si="125"/>
        <v>-9.6671741856523923</v>
      </c>
      <c r="F319" s="304">
        <f t="shared" ca="1" si="126"/>
        <v>9.6731373046953006</v>
      </c>
      <c r="G319" s="306">
        <f t="shared" ca="1" si="127"/>
        <v>20.74415575021073</v>
      </c>
      <c r="H319" s="307">
        <f t="shared" ca="1" si="128"/>
        <v>-9.7053685110276771</v>
      </c>
      <c r="I319" s="304">
        <f t="shared" ca="1" si="129"/>
        <v>22.902274466171445</v>
      </c>
      <c r="J319" s="306">
        <f t="shared" ca="1" si="130"/>
        <v>470.57045233862374</v>
      </c>
      <c r="K319" s="307">
        <f t="shared" ca="1" si="131"/>
        <v>1490.7836885288059</v>
      </c>
      <c r="L319" s="304">
        <f t="shared" ca="1" si="116"/>
        <v>1563.2890188950118</v>
      </c>
      <c r="M319" s="306">
        <f t="shared" ca="1" si="132"/>
        <v>-0.43760694714551307</v>
      </c>
      <c r="N319" s="304">
        <f t="shared" ca="1" si="133"/>
        <v>-25.073031157042386</v>
      </c>
      <c r="P319" s="310">
        <f t="shared" ca="1" si="134"/>
        <v>23</v>
      </c>
      <c r="Q319" s="304">
        <f t="shared" ca="1" si="135"/>
        <v>0</v>
      </c>
      <c r="R319" s="306">
        <f t="shared" ca="1" si="136"/>
        <v>0</v>
      </c>
      <c r="S319" s="307">
        <f t="shared" ca="1" si="137"/>
        <v>2.9792999999999985</v>
      </c>
      <c r="T319" s="304">
        <f t="shared" ca="1" si="117"/>
        <v>29.226932999999988</v>
      </c>
      <c r="U319" s="311">
        <f t="shared" ca="1" si="118"/>
        <v>0</v>
      </c>
      <c r="V319" s="306">
        <f t="shared" ca="1" si="119"/>
        <v>1.0550471453330419</v>
      </c>
      <c r="W319" s="304">
        <f t="shared" ca="1" si="120"/>
        <v>1.1331879984232673</v>
      </c>
      <c r="Y319" s="314" t="str">
        <f t="shared" ca="1" si="138"/>
        <v/>
      </c>
      <c r="Z319" s="315" t="str">
        <f t="shared" ca="1" si="139"/>
        <v/>
      </c>
      <c r="AA319" s="316" t="str">
        <f t="shared" ca="1" si="140"/>
        <v/>
      </c>
      <c r="AC319" s="310" t="e">
        <f t="shared" ca="1" si="141"/>
        <v>#N/A</v>
      </c>
      <c r="AD319" s="323" t="e">
        <f t="shared" ca="1" si="142"/>
        <v>#N/A</v>
      </c>
      <c r="AE319" s="324" t="e">
        <f t="shared" ca="1" si="121"/>
        <v>#N/A</v>
      </c>
      <c r="AG319" s="306">
        <f t="shared" ca="1" si="143"/>
        <v>3.4347187984447634</v>
      </c>
      <c r="AH319" s="304">
        <f t="shared" ca="1" si="144"/>
        <v>-0.3684125309865528</v>
      </c>
    </row>
    <row r="320" spans="1:34" x14ac:dyDescent="0.2">
      <c r="A320" s="347">
        <f t="shared" ca="1" si="122"/>
        <v>0.1</v>
      </c>
      <c r="B320" s="304">
        <f t="shared" ca="1" si="123"/>
        <v>16.79999999999993</v>
      </c>
      <c r="D320" s="306">
        <f t="shared" ca="1" si="124"/>
        <v>-0.34451241672626126</v>
      </c>
      <c r="E320" s="307">
        <f t="shared" ca="1" si="125"/>
        <v>-9.6488162911417046</v>
      </c>
      <c r="F320" s="304">
        <f t="shared" ca="1" si="126"/>
        <v>9.6549647656260316</v>
      </c>
      <c r="G320" s="306">
        <f t="shared" ca="1" si="127"/>
        <v>20.709704508538103</v>
      </c>
      <c r="H320" s="307">
        <f t="shared" ca="1" si="128"/>
        <v>-10.670250140141848</v>
      </c>
      <c r="I320" s="304">
        <f t="shared" ca="1" si="129"/>
        <v>23.296911788564607</v>
      </c>
      <c r="J320" s="306">
        <f t="shared" ca="1" si="130"/>
        <v>472.6431453515612</v>
      </c>
      <c r="K320" s="307">
        <f t="shared" ca="1" si="131"/>
        <v>1489.7649075962474</v>
      </c>
      <c r="L320" s="304">
        <f t="shared" ca="1" si="116"/>
        <v>1562.9430644630254</v>
      </c>
      <c r="M320" s="306">
        <f t="shared" ca="1" si="132"/>
        <v>-0.4757568251062681</v>
      </c>
      <c r="N320" s="304">
        <f t="shared" ca="1" si="133"/>
        <v>-27.258858153132806</v>
      </c>
      <c r="P320" s="310">
        <f t="shared" ca="1" si="134"/>
        <v>23</v>
      </c>
      <c r="Q320" s="304">
        <f t="shared" ca="1" si="135"/>
        <v>0</v>
      </c>
      <c r="R320" s="306">
        <f t="shared" ca="1" si="136"/>
        <v>0</v>
      </c>
      <c r="S320" s="307">
        <f t="shared" ca="1" si="137"/>
        <v>2.9792999999999985</v>
      </c>
      <c r="T320" s="304">
        <f t="shared" ca="1" si="117"/>
        <v>29.226932999999988</v>
      </c>
      <c r="U320" s="311">
        <f t="shared" ca="1" si="118"/>
        <v>0</v>
      </c>
      <c r="V320" s="306">
        <f t="shared" ca="1" si="119"/>
        <v>1.0551552371882569</v>
      </c>
      <c r="W320" s="304">
        <f t="shared" ca="1" si="120"/>
        <v>1.1726973367160445</v>
      </c>
      <c r="Y320" s="314" t="str">
        <f t="shared" ca="1" si="138"/>
        <v/>
      </c>
      <c r="Z320" s="315" t="str">
        <f t="shared" ca="1" si="139"/>
        <v/>
      </c>
      <c r="AA320" s="316" t="str">
        <f t="shared" ca="1" si="140"/>
        <v/>
      </c>
      <c r="AC320" s="310" t="e">
        <f t="shared" ca="1" si="141"/>
        <v>#N/A</v>
      </c>
      <c r="AD320" s="323" t="e">
        <f t="shared" ca="1" si="142"/>
        <v>#N/A</v>
      </c>
      <c r="AE320" s="324" t="e">
        <f t="shared" ca="1" si="121"/>
        <v>#N/A</v>
      </c>
      <c r="AG320" s="306">
        <f t="shared" ca="1" si="143"/>
        <v>3.7768606213348912</v>
      </c>
      <c r="AH320" s="304">
        <f t="shared" ca="1" si="144"/>
        <v>-0.38035377384730235</v>
      </c>
    </row>
    <row r="321" spans="1:34" x14ac:dyDescent="0.2">
      <c r="A321" s="347">
        <f t="shared" ca="1" si="122"/>
        <v>0.1</v>
      </c>
      <c r="B321" s="304">
        <f t="shared" ca="1" si="123"/>
        <v>16.899999999999931</v>
      </c>
      <c r="D321" s="306">
        <f t="shared" ca="1" si="124"/>
        <v>-0.34990266420124216</v>
      </c>
      <c r="E321" s="307">
        <f t="shared" ca="1" si="125"/>
        <v>-9.6297198347185464</v>
      </c>
      <c r="F321" s="304">
        <f t="shared" ca="1" si="126"/>
        <v>9.6360747179329671</v>
      </c>
      <c r="G321" s="306">
        <f t="shared" ca="1" si="127"/>
        <v>20.674714242117979</v>
      </c>
      <c r="H321" s="307">
        <f t="shared" ca="1" si="128"/>
        <v>-11.633222123613702</v>
      </c>
      <c r="I321" s="304">
        <f t="shared" ca="1" si="129"/>
        <v>23.722893288352736</v>
      </c>
      <c r="J321" s="306">
        <f t="shared" ca="1" si="130"/>
        <v>474.71236628909401</v>
      </c>
      <c r="K321" s="307">
        <f t="shared" ca="1" si="131"/>
        <v>1488.6497339830596</v>
      </c>
      <c r="L321" s="304">
        <f t="shared" ca="1" si="116"/>
        <v>1562.5075555643323</v>
      </c>
      <c r="M321" s="306">
        <f t="shared" ca="1" si="132"/>
        <v>-0.51252522737164663</v>
      </c>
      <c r="N321" s="304">
        <f t="shared" ca="1" si="133"/>
        <v>-29.365532422378251</v>
      </c>
      <c r="P321" s="310">
        <f t="shared" ca="1" si="134"/>
        <v>23</v>
      </c>
      <c r="Q321" s="304">
        <f t="shared" ca="1" si="135"/>
        <v>0</v>
      </c>
      <c r="R321" s="306">
        <f t="shared" ca="1" si="136"/>
        <v>0</v>
      </c>
      <c r="S321" s="307">
        <f t="shared" ca="1" si="137"/>
        <v>2.9792999999999985</v>
      </c>
      <c r="T321" s="304">
        <f t="shared" ca="1" si="117"/>
        <v>29.226932999999988</v>
      </c>
      <c r="U321" s="311">
        <f t="shared" ca="1" si="118"/>
        <v>0</v>
      </c>
      <c r="V321" s="306">
        <f t="shared" ca="1" si="119"/>
        <v>1.0552735679808363</v>
      </c>
      <c r="W321" s="304">
        <f t="shared" ca="1" si="120"/>
        <v>1.2161110657424172</v>
      </c>
      <c r="Y321" s="314" t="str">
        <f t="shared" ca="1" si="138"/>
        <v/>
      </c>
      <c r="Z321" s="315" t="str">
        <f t="shared" ca="1" si="139"/>
        <v/>
      </c>
      <c r="AA321" s="316" t="str">
        <f t="shared" ca="1" si="140"/>
        <v/>
      </c>
      <c r="AC321" s="310" t="e">
        <f t="shared" ca="1" si="141"/>
        <v>#N/A</v>
      </c>
      <c r="AD321" s="323" t="e">
        <f t="shared" ca="1" si="142"/>
        <v>#N/A</v>
      </c>
      <c r="AE321" s="324" t="e">
        <f t="shared" ca="1" si="121"/>
        <v>#N/A</v>
      </c>
      <c r="AG321" s="306">
        <f t="shared" ca="1" si="143"/>
        <v>4.0994763383382633</v>
      </c>
      <c r="AH321" s="304">
        <f t="shared" ca="1" si="144"/>
        <v>-0.39361505612595077</v>
      </c>
    </row>
    <row r="322" spans="1:34" x14ac:dyDescent="0.2">
      <c r="A322" s="347">
        <f t="shared" ca="1" si="122"/>
        <v>0.1</v>
      </c>
      <c r="B322" s="304">
        <f t="shared" ca="1" si="123"/>
        <v>16.999999999999932</v>
      </c>
      <c r="D322" s="306">
        <f t="shared" ca="1" si="124"/>
        <v>-0.35573849548285619</v>
      </c>
      <c r="E322" s="307">
        <f t="shared" ca="1" si="125"/>
        <v>-9.6098335122116652</v>
      </c>
      <c r="F322" s="304">
        <f t="shared" ca="1" si="126"/>
        <v>9.6164156529132416</v>
      </c>
      <c r="G322" s="306">
        <f t="shared" ca="1" si="127"/>
        <v>20.639140392569693</v>
      </c>
      <c r="H322" s="307">
        <f t="shared" ca="1" si="128"/>
        <v>-12.594205474834869</v>
      </c>
      <c r="I322" s="304">
        <f t="shared" ca="1" si="129"/>
        <v>24.17825733353342</v>
      </c>
      <c r="J322" s="306">
        <f t="shared" ca="1" si="130"/>
        <v>476.77805902082838</v>
      </c>
      <c r="K322" s="307">
        <f t="shared" ca="1" si="131"/>
        <v>1487.4383626031372</v>
      </c>
      <c r="L322" s="304">
        <f t="shared" ca="1" si="116"/>
        <v>1561.9827784284853</v>
      </c>
      <c r="M322" s="306">
        <f t="shared" ca="1" si="132"/>
        <v>-0.54789289471334879</v>
      </c>
      <c r="N322" s="304">
        <f t="shared" ca="1" si="133"/>
        <v>-31.391950492280461</v>
      </c>
      <c r="P322" s="310">
        <f t="shared" ca="1" si="134"/>
        <v>23</v>
      </c>
      <c r="Q322" s="304">
        <f t="shared" ca="1" si="135"/>
        <v>0</v>
      </c>
      <c r="R322" s="306">
        <f t="shared" ca="1" si="136"/>
        <v>0</v>
      </c>
      <c r="S322" s="307">
        <f t="shared" ca="1" si="137"/>
        <v>2.9792999999999985</v>
      </c>
      <c r="T322" s="304">
        <f t="shared" ca="1" si="117"/>
        <v>29.226932999999988</v>
      </c>
      <c r="U322" s="311">
        <f t="shared" ca="1" si="118"/>
        <v>0</v>
      </c>
      <c r="V322" s="306">
        <f t="shared" ca="1" si="119"/>
        <v>1.0554021202117738</v>
      </c>
      <c r="W322" s="304">
        <f t="shared" ca="1" si="120"/>
        <v>1.2633998552916836</v>
      </c>
      <c r="Y322" s="314" t="str">
        <f t="shared" ca="1" si="138"/>
        <v/>
      </c>
      <c r="Z322" s="315" t="str">
        <f t="shared" ca="1" si="139"/>
        <v/>
      </c>
      <c r="AA322" s="316" t="str">
        <f t="shared" ca="1" si="140"/>
        <v/>
      </c>
      <c r="AC322" s="310">
        <f t="shared" ca="1" si="141"/>
        <v>16.999999999999932</v>
      </c>
      <c r="AD322" s="323">
        <f t="shared" ca="1" si="142"/>
        <v>476.77805902082838</v>
      </c>
      <c r="AE322" s="324" t="e">
        <f t="shared" ca="1" si="121"/>
        <v>#N/A</v>
      </c>
      <c r="AG322" s="306">
        <f t="shared" ca="1" si="143"/>
        <v>4.4024367015448513</v>
      </c>
      <c r="AH322" s="304">
        <f t="shared" ca="1" si="144"/>
        <v>-0.40818684447434561</v>
      </c>
    </row>
    <row r="323" spans="1:34" x14ac:dyDescent="0.2">
      <c r="A323" s="347">
        <f t="shared" ca="1" si="122"/>
        <v>0.1</v>
      </c>
      <c r="B323" s="304">
        <f t="shared" ca="1" si="123"/>
        <v>17.099999999999934</v>
      </c>
      <c r="D323" s="306">
        <f t="shared" ca="1" si="124"/>
        <v>-0.36198718491570531</v>
      </c>
      <c r="E323" s="307">
        <f t="shared" ca="1" si="125"/>
        <v>-9.5891118767850099</v>
      </c>
      <c r="F323" s="304">
        <f t="shared" ca="1" si="126"/>
        <v>9.5959419187249431</v>
      </c>
      <c r="G323" s="306">
        <f t="shared" ca="1" si="127"/>
        <v>20.602941674078124</v>
      </c>
      <c r="H323" s="307">
        <f t="shared" ca="1" si="128"/>
        <v>-13.55311666251337</v>
      </c>
      <c r="I323" s="304">
        <f t="shared" ca="1" si="129"/>
        <v>24.661066012911174</v>
      </c>
      <c r="J323" s="306">
        <f t="shared" ca="1" si="130"/>
        <v>478.84016312416077</v>
      </c>
      <c r="K323" s="307">
        <f t="shared" ca="1" si="131"/>
        <v>1486.1309964962697</v>
      </c>
      <c r="L323" s="304">
        <f t="shared" ca="1" si="116"/>
        <v>1561.3690276701946</v>
      </c>
      <c r="M323" s="306">
        <f t="shared" ca="1" si="132"/>
        <v>-0.58185599027502355</v>
      </c>
      <c r="N323" s="304">
        <f t="shared" ca="1" si="133"/>
        <v>-33.337892527163923</v>
      </c>
      <c r="P323" s="310">
        <f t="shared" ca="1" si="134"/>
        <v>23</v>
      </c>
      <c r="Q323" s="304">
        <f t="shared" ca="1" si="135"/>
        <v>0</v>
      </c>
      <c r="R323" s="306">
        <f t="shared" ca="1" si="136"/>
        <v>0</v>
      </c>
      <c r="S323" s="307">
        <f t="shared" ca="1" si="137"/>
        <v>2.9792999999999985</v>
      </c>
      <c r="T323" s="304">
        <f t="shared" ca="1" si="117"/>
        <v>29.226932999999988</v>
      </c>
      <c r="U323" s="311">
        <f t="shared" ca="1" si="118"/>
        <v>0</v>
      </c>
      <c r="V323" s="306">
        <f t="shared" ca="1" si="119"/>
        <v>1.0555408757858917</v>
      </c>
      <c r="W323" s="304">
        <f t="shared" ca="1" si="120"/>
        <v>1.3145333746478831</v>
      </c>
      <c r="Y323" s="314" t="str">
        <f t="shared" ca="1" si="138"/>
        <v/>
      </c>
      <c r="Z323" s="315" t="str">
        <f t="shared" ca="1" si="139"/>
        <v/>
      </c>
      <c r="AA323" s="316" t="str">
        <f t="shared" ca="1" si="140"/>
        <v/>
      </c>
      <c r="AC323" s="310" t="e">
        <f t="shared" ca="1" si="141"/>
        <v>#N/A</v>
      </c>
      <c r="AD323" s="323" t="e">
        <f t="shared" ca="1" si="142"/>
        <v>#N/A</v>
      </c>
      <c r="AE323" s="324" t="e">
        <f t="shared" ca="1" si="121"/>
        <v>#N/A</v>
      </c>
      <c r="AG323" s="306">
        <f t="shared" ca="1" si="143"/>
        <v>4.6858687706367625</v>
      </c>
      <c r="AH323" s="304">
        <f t="shared" ca="1" si="144"/>
        <v>-0.42405929422739713</v>
      </c>
    </row>
    <row r="324" spans="1:34" x14ac:dyDescent="0.2">
      <c r="A324" s="347">
        <f t="shared" ca="1" si="122"/>
        <v>0.1</v>
      </c>
      <c r="B324" s="304">
        <f t="shared" ca="1" si="123"/>
        <v>17.199999999999935</v>
      </c>
      <c r="D324" s="306">
        <f t="shared" ca="1" si="124"/>
        <v>-0.36861649695861992</v>
      </c>
      <c r="E324" s="307">
        <f t="shared" ca="1" si="125"/>
        <v>-9.5675150934250883</v>
      </c>
      <c r="F324" s="304">
        <f t="shared" ca="1" si="126"/>
        <v>9.574613474430544</v>
      </c>
      <c r="G324" s="306">
        <f t="shared" ca="1" si="127"/>
        <v>20.566080024382263</v>
      </c>
      <c r="H324" s="307">
        <f t="shared" ca="1" si="128"/>
        <v>-14.509868171855878</v>
      </c>
      <c r="I324" s="304">
        <f t="shared" ca="1" si="129"/>
        <v>25.169424346494921</v>
      </c>
      <c r="J324" s="306">
        <f t="shared" ca="1" si="130"/>
        <v>480.8986142090838</v>
      </c>
      <c r="K324" s="307">
        <f t="shared" ca="1" si="131"/>
        <v>1484.7278472545513</v>
      </c>
      <c r="L324" s="304">
        <f t="shared" ref="L324:L387" ca="1" si="145">SQRT(pos_x^2+pos_z^2)</f>
        <v>1560.6666067938249</v>
      </c>
      <c r="M324" s="306">
        <f t="shared" ca="1" si="132"/>
        <v>-0.61442390021042992</v>
      </c>
      <c r="N324" s="304">
        <f t="shared" ca="1" si="133"/>
        <v>-35.203896314024888</v>
      </c>
      <c r="P324" s="310">
        <f t="shared" ca="1" si="134"/>
        <v>23</v>
      </c>
      <c r="Q324" s="304">
        <f t="shared" ca="1" si="135"/>
        <v>0</v>
      </c>
      <c r="R324" s="306">
        <f t="shared" ca="1" si="136"/>
        <v>0</v>
      </c>
      <c r="S324" s="307">
        <f t="shared" ca="1" si="137"/>
        <v>2.9792999999999985</v>
      </c>
      <c r="T324" s="304">
        <f t="shared" ref="T324:T387" ca="1" si="146">m*g</f>
        <v>29.226932999999988</v>
      </c>
      <c r="U324" s="311">
        <f t="shared" ref="U324:U387" ca="1" si="147">IF(pos_xz&lt;L_rampe,Poids*COS(Beta),0)</f>
        <v>0</v>
      </c>
      <c r="V324" s="306">
        <f t="shared" ref="V324:V387" ca="1" si="148">Rho_moyen*(20000-Alt_rampe-pos_z)/(20000+Alt_rampe+pos_z)</f>
        <v>1.0556898159643906</v>
      </c>
      <c r="W324" s="304">
        <f t="shared" ref="W324:W387" ca="1" si="149">1/2*Rho*Sref*Cx*vit_xz^2</f>
        <v>1.3694802301369939</v>
      </c>
      <c r="Y324" s="314" t="str">
        <f t="shared" ca="1" si="138"/>
        <v/>
      </c>
      <c r="Z324" s="315" t="str">
        <f t="shared" ca="1" si="139"/>
        <v/>
      </c>
      <c r="AA324" s="316" t="str">
        <f t="shared" ca="1" si="140"/>
        <v/>
      </c>
      <c r="AC324" s="310" t="e">
        <f t="shared" ca="1" si="141"/>
        <v>#N/A</v>
      </c>
      <c r="AD324" s="323" t="e">
        <f t="shared" ca="1" si="142"/>
        <v>#N/A</v>
      </c>
      <c r="AE324" s="324" t="e">
        <f t="shared" ref="AE324:AE387" ca="1" si="150">IF(t&lt;T_para, pos_z, NA())</f>
        <v>#N/A</v>
      </c>
      <c r="AG324" s="306">
        <f t="shared" ca="1" si="143"/>
        <v>4.9501130235284441</v>
      </c>
      <c r="AH324" s="304">
        <f t="shared" ca="1" si="144"/>
        <v>-0.44122222490111229</v>
      </c>
    </row>
    <row r="325" spans="1:34" x14ac:dyDescent="0.2">
      <c r="A325" s="347">
        <f t="shared" ref="A325:A388" ca="1" si="151">IF(B324+0.01&lt;=T_ini+ROUNDUP(Temps_fin_propu,0), 0.01, IF(K324&gt;0, 0.1, 0.0001))</f>
        <v>0.1</v>
      </c>
      <c r="B325" s="304">
        <f t="shared" ref="B325:B388" ca="1" si="152">B324+pas</f>
        <v>17.299999999999937</v>
      </c>
      <c r="D325" s="306">
        <f t="shared" ref="D325:D388" ca="1" si="153">IF(AND(L324&lt;L_rampe,Poussee&lt;Poids*SIN(M324)),0,(-W324+Poussee)/m*COS(M324)-U324/m*SIN(M324))</f>
        <v>-0.37559497130507752</v>
      </c>
      <c r="E325" s="307">
        <f t="shared" ref="E325:E388" ca="1" si="154">IF(AND(L324&lt;L_rampe,Poussee&lt;Poids*SIN(M324)),0,(-W324+Poussee)/m*SIN(M324)+U324/m*COS(M324)-Poids/m)</f>
        <v>-9.5450086397997307</v>
      </c>
      <c r="F325" s="304">
        <f t="shared" ref="F325:F388" ca="1" si="155">SQRT(acc_x^2+acc_z^2)</f>
        <v>9.5523955904433286</v>
      </c>
      <c r="G325" s="306">
        <f t="shared" ref="G325:G388" ca="1" si="156">G324+acc_x*pas</f>
        <v>20.528520527251754</v>
      </c>
      <c r="H325" s="307">
        <f t="shared" ref="H325:H388" ca="1" si="157">H324+acc_z*pas</f>
        <v>-15.464369035835851</v>
      </c>
      <c r="I325" s="304">
        <f t="shared" ref="I325:I388" ca="1" si="158">SQRT(vit_x^2+vit_z^2)</f>
        <v>25.701495378952472</v>
      </c>
      <c r="J325" s="306">
        <f t="shared" ref="J325:J388" ca="1" si="159">J324+0.5*(vit_x+G324)*pas*(K324&gt;=0)</f>
        <v>482.95334423666549</v>
      </c>
      <c r="K325" s="307">
        <f t="shared" ref="K325:K388" ca="1" si="160">K324+0.5*(vit_z+H324)*pas</f>
        <v>1483.2291353941666</v>
      </c>
      <c r="L325" s="304">
        <f t="shared" ca="1" si="145"/>
        <v>1559.8758286451862</v>
      </c>
      <c r="M325" s="306">
        <f t="shared" ref="M325:M388" ca="1" si="161">IF(AND(L324&gt;L_rampe,G325&gt;0),ATAN2(G325,H325),$M$4)</f>
        <v>-0.6456170538811693</v>
      </c>
      <c r="N325" s="304">
        <f t="shared" ref="N325:N388" ca="1" si="162">DEGREES(Beta)</f>
        <v>-36.991132369061269</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2.9792999999999985</v>
      </c>
      <c r="T325" s="304">
        <f t="shared" ca="1" si="146"/>
        <v>29.226932999999988</v>
      </c>
      <c r="U325" s="311">
        <f t="shared" ca="1" si="147"/>
        <v>0</v>
      </c>
      <c r="V325" s="306">
        <f t="shared" ca="1" si="148"/>
        <v>1.055848921323064</v>
      </c>
      <c r="W325" s="304">
        <f t="shared" ca="1" si="149"/>
        <v>1.4282079126978131</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t="e">
        <f t="shared" ca="1" si="150"/>
        <v>#N/A</v>
      </c>
      <c r="AG325" s="306">
        <f t="shared" ref="AG325:AG388" ca="1" si="172">IF(AND(L324&lt;L_rampe,Poussee&lt;Poids*SIN(M324)),0,(-W324+Poussee)/m-Poids*SIN(M324)/m)</f>
        <v>5.1956810384626451</v>
      </c>
      <c r="AH325" s="304">
        <f t="shared" ref="AH325:AH388" ca="1" si="173">IF(AND(L324&lt;L_rampe,Poussee&lt;Poids*SIN(M324)), g*SIN(M324), (-W324+Poussee)/m)</f>
        <v>-0.45966509923035431</v>
      </c>
    </row>
    <row r="326" spans="1:34" x14ac:dyDescent="0.2">
      <c r="A326" s="347">
        <f t="shared" ca="1" si="151"/>
        <v>0.1</v>
      </c>
      <c r="B326" s="304">
        <f t="shared" ca="1" si="152"/>
        <v>17.399999999999938</v>
      </c>
      <c r="D326" s="306">
        <f t="shared" ca="1" si="153"/>
        <v>-0.38289214514796699</v>
      </c>
      <c r="E326" s="307">
        <f t="shared" ca="1" si="154"/>
        <v>-9.5215629728099227</v>
      </c>
      <c r="F326" s="304">
        <f t="shared" ca="1" si="155"/>
        <v>9.5292585147009703</v>
      </c>
      <c r="G326" s="306">
        <f t="shared" ca="1" si="156"/>
        <v>20.490231312736956</v>
      </c>
      <c r="H326" s="307">
        <f t="shared" ca="1" si="157"/>
        <v>-16.416525333116844</v>
      </c>
      <c r="I326" s="304">
        <f t="shared" ca="1" si="158"/>
        <v>26.255511483540616</v>
      </c>
      <c r="J326" s="306">
        <f t="shared" ca="1" si="159"/>
        <v>485.00428182866494</v>
      </c>
      <c r="K326" s="307">
        <f t="shared" ca="1" si="160"/>
        <v>1481.6350906757191</v>
      </c>
      <c r="L326" s="304">
        <f t="shared" ca="1" si="145"/>
        <v>1558.9970158129827</v>
      </c>
      <c r="M326" s="306">
        <f t="shared" ca="1" si="161"/>
        <v>-0.67546485001803191</v>
      </c>
      <c r="N326" s="304">
        <f t="shared" ca="1" si="162"/>
        <v>-38.701285115470377</v>
      </c>
      <c r="P326" s="310">
        <f t="shared" ca="1" si="163"/>
        <v>23</v>
      </c>
      <c r="Q326" s="304">
        <f t="shared" ca="1" si="164"/>
        <v>0</v>
      </c>
      <c r="R326" s="306">
        <f t="shared" ca="1" si="165"/>
        <v>0</v>
      </c>
      <c r="S326" s="307">
        <f t="shared" ca="1" si="166"/>
        <v>2.9792999999999985</v>
      </c>
      <c r="T326" s="304">
        <f t="shared" ca="1" si="146"/>
        <v>29.226932999999988</v>
      </c>
      <c r="U326" s="311">
        <f t="shared" ca="1" si="147"/>
        <v>0</v>
      </c>
      <c r="V326" s="306">
        <f t="shared" ca="1" si="148"/>
        <v>1.0560181717158419</v>
      </c>
      <c r="W326" s="304">
        <f t="shared" ca="1" si="149"/>
        <v>1.4906827548857693</v>
      </c>
      <c r="Y326" s="314" t="str">
        <f t="shared" ca="1" si="167"/>
        <v/>
      </c>
      <c r="Z326" s="315" t="str">
        <f t="shared" ca="1" si="168"/>
        <v/>
      </c>
      <c r="AA326" s="316" t="str">
        <f t="shared" ca="1" si="169"/>
        <v/>
      </c>
      <c r="AC326" s="310" t="e">
        <f t="shared" ca="1" si="170"/>
        <v>#N/A</v>
      </c>
      <c r="AD326" s="323" t="e">
        <f t="shared" ca="1" si="171"/>
        <v>#N/A</v>
      </c>
      <c r="AE326" s="324" t="e">
        <f t="shared" ca="1" si="150"/>
        <v>#N/A</v>
      </c>
      <c r="AG326" s="306">
        <f t="shared" ca="1" si="172"/>
        <v>5.4232157426230811</v>
      </c>
      <c r="AH326" s="304">
        <f t="shared" ca="1" si="173"/>
        <v>-0.47937700557104485</v>
      </c>
    </row>
    <row r="327" spans="1:34" x14ac:dyDescent="0.2">
      <c r="A327" s="347">
        <f t="shared" ca="1" si="151"/>
        <v>0.1</v>
      </c>
      <c r="B327" s="304">
        <f t="shared" ca="1" si="152"/>
        <v>17.49999999999994</v>
      </c>
      <c r="D327" s="306">
        <f t="shared" ca="1" si="153"/>
        <v>-0.3904787178740966</v>
      </c>
      <c r="E327" s="307">
        <f t="shared" ca="1" si="154"/>
        <v>-9.4971531772294657</v>
      </c>
      <c r="F327" s="304">
        <f t="shared" ca="1" si="155"/>
        <v>9.5051771209626779</v>
      </c>
      <c r="G327" s="306">
        <f t="shared" ca="1" si="156"/>
        <v>20.451183440949546</v>
      </c>
      <c r="H327" s="307">
        <f t="shared" ca="1" si="157"/>
        <v>-17.366240650839792</v>
      </c>
      <c r="I327" s="304">
        <f t="shared" ca="1" si="158"/>
        <v>26.829782303966788</v>
      </c>
      <c r="J327" s="306">
        <f t="shared" ca="1" si="159"/>
        <v>487.05135256634929</v>
      </c>
      <c r="K327" s="307">
        <f t="shared" ca="1" si="160"/>
        <v>1479.9459523765213</v>
      </c>
      <c r="L327" s="304">
        <f t="shared" ca="1" si="145"/>
        <v>1558.0305009826857</v>
      </c>
      <c r="M327" s="306">
        <f t="shared" ca="1" si="161"/>
        <v>-0.70400374749474459</v>
      </c>
      <c r="N327" s="304">
        <f t="shared" ca="1" si="162"/>
        <v>-40.336443492842569</v>
      </c>
      <c r="P327" s="310">
        <f t="shared" ca="1" si="163"/>
        <v>23</v>
      </c>
      <c r="Q327" s="304">
        <f t="shared" ca="1" si="164"/>
        <v>0</v>
      </c>
      <c r="R327" s="306">
        <f t="shared" ca="1" si="165"/>
        <v>0</v>
      </c>
      <c r="S327" s="307">
        <f t="shared" ca="1" si="166"/>
        <v>2.9792999999999985</v>
      </c>
      <c r="T327" s="304">
        <f t="shared" ca="1" si="146"/>
        <v>29.226932999999988</v>
      </c>
      <c r="U327" s="311">
        <f t="shared" ca="1" si="147"/>
        <v>0</v>
      </c>
      <c r="V327" s="306">
        <f t="shared" ca="1" si="148"/>
        <v>1.0561975462432989</v>
      </c>
      <c r="W327" s="304">
        <f t="shared" ca="1" si="149"/>
        <v>1.5568698966796806</v>
      </c>
      <c r="Y327" s="314" t="str">
        <f t="shared" ca="1" si="167"/>
        <v/>
      </c>
      <c r="Z327" s="315" t="str">
        <f t="shared" ca="1" si="168"/>
        <v/>
      </c>
      <c r="AA327" s="316" t="str">
        <f t="shared" ca="1" si="169"/>
        <v/>
      </c>
      <c r="AC327" s="310" t="e">
        <f t="shared" ca="1" si="170"/>
        <v>#N/A</v>
      </c>
      <c r="AD327" s="323" t="e">
        <f t="shared" ca="1" si="171"/>
        <v>#N/A</v>
      </c>
      <c r="AE327" s="324" t="e">
        <f t="shared" ca="1" si="150"/>
        <v>#N/A</v>
      </c>
      <c r="AG327" s="306">
        <f t="shared" ca="1" si="172"/>
        <v>5.6334555343650674</v>
      </c>
      <c r="AH327" s="304">
        <f t="shared" ca="1" si="173"/>
        <v>-0.50034664346852287</v>
      </c>
    </row>
    <row r="328" spans="1:34" x14ac:dyDescent="0.2">
      <c r="A328" s="347">
        <f t="shared" ca="1" si="151"/>
        <v>0.1</v>
      </c>
      <c r="B328" s="304">
        <f t="shared" ca="1" si="152"/>
        <v>17.599999999999941</v>
      </c>
      <c r="D328" s="306">
        <f t="shared" ca="1" si="153"/>
        <v>-0.39832666492237073</v>
      </c>
      <c r="E328" s="307">
        <f t="shared" ca="1" si="154"/>
        <v>-9.4717586096833166</v>
      </c>
      <c r="F328" s="304">
        <f t="shared" ca="1" si="155"/>
        <v>9.4801305524817643</v>
      </c>
      <c r="G328" s="306">
        <f t="shared" ca="1" si="156"/>
        <v>20.411350774457308</v>
      </c>
      <c r="H328" s="307">
        <f t="shared" ca="1" si="157"/>
        <v>-18.313416511808125</v>
      </c>
      <c r="I328" s="304">
        <f t="shared" ca="1" si="158"/>
        <v>27.422699808241081</v>
      </c>
      <c r="J328" s="306">
        <f t="shared" ca="1" si="159"/>
        <v>489.09447927711966</v>
      </c>
      <c r="K328" s="307">
        <f t="shared" ca="1" si="160"/>
        <v>1478.1619695183888</v>
      </c>
      <c r="L328" s="304">
        <f t="shared" ca="1" si="145"/>
        <v>1556.9766272458423</v>
      </c>
      <c r="M328" s="306">
        <f t="shared" ca="1" si="161"/>
        <v>-0.73127555539441902</v>
      </c>
      <c r="N328" s="304">
        <f t="shared" ca="1" si="162"/>
        <v>-41.899002985185447</v>
      </c>
      <c r="P328" s="310">
        <f t="shared" ca="1" si="163"/>
        <v>23</v>
      </c>
      <c r="Q328" s="304">
        <f t="shared" ca="1" si="164"/>
        <v>0</v>
      </c>
      <c r="R328" s="306">
        <f t="shared" ca="1" si="165"/>
        <v>0</v>
      </c>
      <c r="S328" s="307">
        <f t="shared" ca="1" si="166"/>
        <v>2.9792999999999985</v>
      </c>
      <c r="T328" s="304">
        <f t="shared" ca="1" si="146"/>
        <v>29.226932999999988</v>
      </c>
      <c r="U328" s="311">
        <f t="shared" ca="1" si="147"/>
        <v>0</v>
      </c>
      <c r="V328" s="306">
        <f t="shared" ca="1" si="148"/>
        <v>1.0563870232257471</v>
      </c>
      <c r="W328" s="304">
        <f t="shared" ca="1" si="149"/>
        <v>1.6267332594463562</v>
      </c>
      <c r="Y328" s="314" t="str">
        <f t="shared" ca="1" si="167"/>
        <v/>
      </c>
      <c r="Z328" s="315" t="str">
        <f t="shared" ca="1" si="168"/>
        <v/>
      </c>
      <c r="AA328" s="316" t="str">
        <f t="shared" ca="1" si="169"/>
        <v/>
      </c>
      <c r="AC328" s="310" t="e">
        <f t="shared" ca="1" si="170"/>
        <v>#N/A</v>
      </c>
      <c r="AD328" s="323" t="e">
        <f t="shared" ca="1" si="171"/>
        <v>#N/A</v>
      </c>
      <c r="AE328" s="324" t="e">
        <f t="shared" ca="1" si="150"/>
        <v>#N/A</v>
      </c>
      <c r="AG328" s="306">
        <f t="shared" ca="1" si="172"/>
        <v>5.8272029917126806</v>
      </c>
      <c r="AH328" s="304">
        <f t="shared" ca="1" si="173"/>
        <v>-0.52256231218060667</v>
      </c>
    </row>
    <row r="329" spans="1:34" x14ac:dyDescent="0.2">
      <c r="A329" s="347">
        <f t="shared" ca="1" si="151"/>
        <v>0.1</v>
      </c>
      <c r="B329" s="304">
        <f t="shared" ca="1" si="152"/>
        <v>17.699999999999942</v>
      </c>
      <c r="D329" s="306">
        <f t="shared" ca="1" si="153"/>
        <v>-0.40640930818025428</v>
      </c>
      <c r="E329" s="307">
        <f t="shared" ca="1" si="154"/>
        <v>-9.4453625481614569</v>
      </c>
      <c r="F329" s="304">
        <f t="shared" ca="1" si="155"/>
        <v>9.4541018712507352</v>
      </c>
      <c r="G329" s="306">
        <f t="shared" ca="1" si="156"/>
        <v>20.370709843639283</v>
      </c>
      <c r="H329" s="307">
        <f t="shared" ca="1" si="157"/>
        <v>-19.257952766624271</v>
      </c>
      <c r="I329" s="304">
        <f t="shared" ca="1" si="158"/>
        <v>28.032740934401577</v>
      </c>
      <c r="J329" s="306">
        <f t="shared" ca="1" si="159"/>
        <v>491.13358230802447</v>
      </c>
      <c r="K329" s="307">
        <f t="shared" ca="1" si="160"/>
        <v>1476.2834010544673</v>
      </c>
      <c r="L329" s="304">
        <f t="shared" ca="1" si="145"/>
        <v>1555.8357483679497</v>
      </c>
      <c r="M329" s="306">
        <f t="shared" ca="1" si="161"/>
        <v>-0.75732593774819024</v>
      </c>
      <c r="N329" s="304">
        <f t="shared" ca="1" si="162"/>
        <v>-43.391579948758618</v>
      </c>
      <c r="P329" s="310">
        <f t="shared" ca="1" si="163"/>
        <v>23</v>
      </c>
      <c r="Q329" s="304">
        <f t="shared" ca="1" si="164"/>
        <v>0</v>
      </c>
      <c r="R329" s="306">
        <f t="shared" ca="1" si="165"/>
        <v>0</v>
      </c>
      <c r="S329" s="307">
        <f t="shared" ca="1" si="166"/>
        <v>2.9792999999999985</v>
      </c>
      <c r="T329" s="304">
        <f t="shared" ca="1" si="146"/>
        <v>29.226932999999988</v>
      </c>
      <c r="U329" s="311">
        <f t="shared" ca="1" si="147"/>
        <v>0</v>
      </c>
      <c r="V329" s="306">
        <f t="shared" ca="1" si="148"/>
        <v>1.0565865801805421</v>
      </c>
      <c r="W329" s="304">
        <f t="shared" ca="1" si="149"/>
        <v>1.7002355274217971</v>
      </c>
      <c r="Y329" s="314" t="str">
        <f t="shared" ca="1" si="167"/>
        <v/>
      </c>
      <c r="Z329" s="315" t="str">
        <f t="shared" ca="1" si="168"/>
        <v/>
      </c>
      <c r="AA329" s="316" t="str">
        <f t="shared" ca="1" si="169"/>
        <v/>
      </c>
      <c r="AC329" s="310" t="e">
        <f t="shared" ca="1" si="170"/>
        <v>#N/A</v>
      </c>
      <c r="AD329" s="323" t="e">
        <f t="shared" ca="1" si="171"/>
        <v>#N/A</v>
      </c>
      <c r="AE329" s="324" t="e">
        <f t="shared" ca="1" si="150"/>
        <v>#N/A</v>
      </c>
      <c r="AG329" s="306">
        <f t="shared" ca="1" si="172"/>
        <v>6.0052984080273619</v>
      </c>
      <c r="AH329" s="304">
        <f t="shared" ca="1" si="173"/>
        <v>-0.5460119019388302</v>
      </c>
    </row>
    <row r="330" spans="1:34" x14ac:dyDescent="0.2">
      <c r="A330" s="347">
        <f t="shared" ca="1" si="151"/>
        <v>0.1</v>
      </c>
      <c r="B330" s="304">
        <f t="shared" ca="1" si="152"/>
        <v>17.799999999999944</v>
      </c>
      <c r="D330" s="306">
        <f t="shared" ca="1" si="153"/>
        <v>-0.4147013503222946</v>
      </c>
      <c r="E330" s="307">
        <f t="shared" ca="1" si="154"/>
        <v>-9.417951854497808</v>
      </c>
      <c r="F330" s="304">
        <f t="shared" ca="1" si="155"/>
        <v>9.4270777202480858</v>
      </c>
      <c r="G330" s="306">
        <f t="shared" ca="1" si="156"/>
        <v>20.329239708607052</v>
      </c>
      <c r="H330" s="307">
        <f t="shared" ca="1" si="157"/>
        <v>-20.199747952074052</v>
      </c>
      <c r="I330" s="304">
        <f t="shared" ca="1" si="158"/>
        <v>28.658468285261261</v>
      </c>
      <c r="J330" s="306">
        <f t="shared" ca="1" si="159"/>
        <v>493.16857978563678</v>
      </c>
      <c r="K330" s="307">
        <f t="shared" ca="1" si="160"/>
        <v>1474.3105160185323</v>
      </c>
      <c r="L330" s="304">
        <f t="shared" ca="1" si="145"/>
        <v>1554.608229018042</v>
      </c>
      <c r="M330" s="306">
        <f t="shared" ca="1" si="161"/>
        <v>-0.78220313378086126</v>
      </c>
      <c r="N330" s="304">
        <f t="shared" ca="1" si="162"/>
        <v>-44.816938287550265</v>
      </c>
      <c r="P330" s="310">
        <f t="shared" ca="1" si="163"/>
        <v>23</v>
      </c>
      <c r="Q330" s="304">
        <f t="shared" ca="1" si="164"/>
        <v>0</v>
      </c>
      <c r="R330" s="306">
        <f t="shared" ca="1" si="165"/>
        <v>0</v>
      </c>
      <c r="S330" s="307">
        <f t="shared" ca="1" si="166"/>
        <v>2.9792999999999985</v>
      </c>
      <c r="T330" s="304">
        <f t="shared" ca="1" si="146"/>
        <v>29.226932999999988</v>
      </c>
      <c r="U330" s="311">
        <f t="shared" ca="1" si="147"/>
        <v>0</v>
      </c>
      <c r="V330" s="306">
        <f t="shared" ca="1" si="148"/>
        <v>1.0567961938032411</v>
      </c>
      <c r="W330" s="304">
        <f t="shared" ca="1" si="149"/>
        <v>1.7773381360856377</v>
      </c>
      <c r="Y330" s="314" t="str">
        <f t="shared" ca="1" si="167"/>
        <v/>
      </c>
      <c r="Z330" s="315" t="str">
        <f t="shared" ca="1" si="168"/>
        <v/>
      </c>
      <c r="AA330" s="316" t="str">
        <f t="shared" ca="1" si="169"/>
        <v/>
      </c>
      <c r="AC330" s="310" t="e">
        <f t="shared" ca="1" si="170"/>
        <v>#N/A</v>
      </c>
      <c r="AD330" s="323" t="e">
        <f t="shared" ca="1" si="171"/>
        <v>#N/A</v>
      </c>
      <c r="AE330" s="324" t="e">
        <f t="shared" ca="1" si="150"/>
        <v>#N/A</v>
      </c>
      <c r="AG330" s="306">
        <f t="shared" ca="1" si="172"/>
        <v>6.1685980510335998</v>
      </c>
      <c r="AH330" s="304">
        <f t="shared" ca="1" si="173"/>
        <v>-0.5706828877326211</v>
      </c>
    </row>
    <row r="331" spans="1:34" x14ac:dyDescent="0.2">
      <c r="A331" s="347">
        <f t="shared" ca="1" si="151"/>
        <v>0.1</v>
      </c>
      <c r="B331" s="304">
        <f t="shared" ca="1" si="152"/>
        <v>17.899999999999945</v>
      </c>
      <c r="D331" s="306">
        <f t="shared" ca="1" si="153"/>
        <v>-0.42317888009960092</v>
      </c>
      <c r="E331" s="307">
        <f t="shared" ca="1" si="154"/>
        <v>-9.3895166548686149</v>
      </c>
      <c r="F331" s="304">
        <f t="shared" ca="1" si="155"/>
        <v>9.3990480037404556</v>
      </c>
      <c r="G331" s="306">
        <f t="shared" ca="1" si="156"/>
        <v>20.28692182059709</v>
      </c>
      <c r="H331" s="307">
        <f t="shared" ca="1" si="157"/>
        <v>-21.138699617560913</v>
      </c>
      <c r="I331" s="304">
        <f t="shared" ca="1" si="158"/>
        <v>29.298529288626217</v>
      </c>
      <c r="J331" s="306">
        <f t="shared" ca="1" si="159"/>
        <v>495.19938786209701</v>
      </c>
      <c r="K331" s="307">
        <f t="shared" ca="1" si="160"/>
        <v>1472.2435936400507</v>
      </c>
      <c r="L331" s="304">
        <f t="shared" ca="1" si="145"/>
        <v>1553.2944449630811</v>
      </c>
      <c r="M331" s="306">
        <f t="shared" ca="1" si="161"/>
        <v>-0.80595688429518497</v>
      </c>
      <c r="N331" s="304">
        <f t="shared" ca="1" si="162"/>
        <v>-46.177927939627722</v>
      </c>
      <c r="P331" s="310">
        <f t="shared" ca="1" si="163"/>
        <v>23</v>
      </c>
      <c r="Q331" s="304">
        <f t="shared" ca="1" si="164"/>
        <v>0</v>
      </c>
      <c r="R331" s="306">
        <f t="shared" ca="1" si="165"/>
        <v>0</v>
      </c>
      <c r="S331" s="307">
        <f t="shared" ca="1" si="166"/>
        <v>2.9792999999999985</v>
      </c>
      <c r="T331" s="304">
        <f t="shared" ca="1" si="146"/>
        <v>29.226932999999988</v>
      </c>
      <c r="U331" s="311">
        <f t="shared" ca="1" si="147"/>
        <v>0</v>
      </c>
      <c r="V331" s="306">
        <f t="shared" ca="1" si="148"/>
        <v>1.0570158399522585</v>
      </c>
      <c r="W331" s="304">
        <f t="shared" ca="1" si="149"/>
        <v>1.858001266833218</v>
      </c>
      <c r="Y331" s="314" t="str">
        <f t="shared" ca="1" si="167"/>
        <v/>
      </c>
      <c r="Z331" s="315" t="str">
        <f t="shared" ca="1" si="168"/>
        <v/>
      </c>
      <c r="AA331" s="316" t="str">
        <f t="shared" ca="1" si="169"/>
        <v/>
      </c>
      <c r="AC331" s="310" t="e">
        <f t="shared" ca="1" si="170"/>
        <v>#N/A</v>
      </c>
      <c r="AD331" s="323" t="e">
        <f t="shared" ca="1" si="171"/>
        <v>#N/A</v>
      </c>
      <c r="AE331" s="324" t="e">
        <f t="shared" ca="1" si="150"/>
        <v>#N/A</v>
      </c>
      <c r="AG331" s="306">
        <f t="shared" ca="1" si="172"/>
        <v>6.3179568120917882</v>
      </c>
      <c r="AH331" s="304">
        <f t="shared" ca="1" si="173"/>
        <v>-0.59656232540718912</v>
      </c>
    </row>
    <row r="332" spans="1:34" x14ac:dyDescent="0.2">
      <c r="A332" s="347">
        <f t="shared" ca="1" si="151"/>
        <v>0.1</v>
      </c>
      <c r="B332" s="304">
        <f t="shared" ca="1" si="152"/>
        <v>17.999999999999947</v>
      </c>
      <c r="D332" s="306">
        <f t="shared" ca="1" si="153"/>
        <v>-0.43181935493169238</v>
      </c>
      <c r="E332" s="307">
        <f t="shared" ca="1" si="154"/>
        <v>-9.3600500414172103</v>
      </c>
      <c r="F332" s="304">
        <f t="shared" ca="1" si="155"/>
        <v>9.3700055887458227</v>
      </c>
      <c r="G332" s="306">
        <f t="shared" ca="1" si="156"/>
        <v>20.243739885103921</v>
      </c>
      <c r="H332" s="307">
        <f t="shared" ca="1" si="157"/>
        <v>-22.074704621702633</v>
      </c>
      <c r="I332" s="304">
        <f t="shared" ca="1" si="158"/>
        <v>29.951654189229128</v>
      </c>
      <c r="J332" s="306">
        <f t="shared" ca="1" si="159"/>
        <v>497.22592094738206</v>
      </c>
      <c r="K332" s="307">
        <f t="shared" ca="1" si="160"/>
        <v>1470.0829234280875</v>
      </c>
      <c r="L332" s="304">
        <f t="shared" ca="1" si="145"/>
        <v>1551.8947832301146</v>
      </c>
      <c r="M332" s="306">
        <f t="shared" ca="1" si="161"/>
        <v>-0.82863754828848102</v>
      </c>
      <c r="N332" s="304">
        <f t="shared" ca="1" si="162"/>
        <v>-47.477434262997917</v>
      </c>
      <c r="P332" s="310">
        <f t="shared" ca="1" si="163"/>
        <v>23</v>
      </c>
      <c r="Q332" s="304">
        <f t="shared" ca="1" si="164"/>
        <v>0</v>
      </c>
      <c r="R332" s="306">
        <f t="shared" ca="1" si="165"/>
        <v>0</v>
      </c>
      <c r="S332" s="307">
        <f t="shared" ca="1" si="166"/>
        <v>2.9792999999999985</v>
      </c>
      <c r="T332" s="304">
        <f t="shared" ca="1" si="146"/>
        <v>29.226932999999988</v>
      </c>
      <c r="U332" s="311">
        <f t="shared" ca="1" si="147"/>
        <v>0</v>
      </c>
      <c r="V332" s="306">
        <f t="shared" ca="1" si="148"/>
        <v>1.0572454936366993</v>
      </c>
      <c r="W332" s="304">
        <f t="shared" ca="1" si="149"/>
        <v>1.9421838473837347</v>
      </c>
      <c r="Y332" s="314" t="str">
        <f t="shared" ca="1" si="167"/>
        <v/>
      </c>
      <c r="Z332" s="315" t="str">
        <f t="shared" ca="1" si="168"/>
        <v/>
      </c>
      <c r="AA332" s="316" t="str">
        <f t="shared" ca="1" si="169"/>
        <v/>
      </c>
      <c r="AC332" s="310">
        <f t="shared" ca="1" si="170"/>
        <v>17.999999999999947</v>
      </c>
      <c r="AD332" s="323">
        <f t="shared" ca="1" si="171"/>
        <v>497.22592094738206</v>
      </c>
      <c r="AE332" s="324" t="e">
        <f t="shared" ca="1" si="150"/>
        <v>#N/A</v>
      </c>
      <c r="AG332" s="306">
        <f t="shared" ca="1" si="172"/>
        <v>6.4542147789700115</v>
      </c>
      <c r="AH332" s="304">
        <f t="shared" ca="1" si="173"/>
        <v>-0.62363684987521195</v>
      </c>
    </row>
    <row r="333" spans="1:34" x14ac:dyDescent="0.2">
      <c r="A333" s="347">
        <f t="shared" ca="1" si="151"/>
        <v>0.1</v>
      </c>
      <c r="B333" s="304">
        <f t="shared" ca="1" si="152"/>
        <v>18.099999999999948</v>
      </c>
      <c r="D333" s="306">
        <f t="shared" ca="1" si="153"/>
        <v>-0.44060156635985459</v>
      </c>
      <c r="E333" s="307">
        <f t="shared" ca="1" si="154"/>
        <v>-9.3295477965803073</v>
      </c>
      <c r="F333" s="304">
        <f t="shared" ca="1" si="155"/>
        <v>9.3399460292313901</v>
      </c>
      <c r="G333" s="306">
        <f t="shared" ca="1" si="156"/>
        <v>20.199679728467935</v>
      </c>
      <c r="H333" s="307">
        <f t="shared" ca="1" si="157"/>
        <v>-23.007659401360662</v>
      </c>
      <c r="I333" s="304">
        <f t="shared" ca="1" si="158"/>
        <v>30.616653185181722</v>
      </c>
      <c r="J333" s="306">
        <f t="shared" ca="1" si="159"/>
        <v>499.24809192806066</v>
      </c>
      <c r="K333" s="307">
        <f t="shared" ca="1" si="160"/>
        <v>1467.8288052269343</v>
      </c>
      <c r="L333" s="304">
        <f t="shared" ca="1" si="145"/>
        <v>1550.4096422390242</v>
      </c>
      <c r="M333" s="306">
        <f t="shared" ca="1" si="161"/>
        <v>-0.8502953902612892</v>
      </c>
      <c r="N333" s="304">
        <f t="shared" ca="1" si="162"/>
        <v>-48.718337201401113</v>
      </c>
      <c r="P333" s="310">
        <f t="shared" ca="1" si="163"/>
        <v>23</v>
      </c>
      <c r="Q333" s="304">
        <f t="shared" ca="1" si="164"/>
        <v>0</v>
      </c>
      <c r="R333" s="306">
        <f t="shared" ca="1" si="165"/>
        <v>0</v>
      </c>
      <c r="S333" s="307">
        <f t="shared" ca="1" si="166"/>
        <v>2.9792999999999985</v>
      </c>
      <c r="T333" s="304">
        <f t="shared" ca="1" si="146"/>
        <v>29.226932999999988</v>
      </c>
      <c r="U333" s="311">
        <f t="shared" ca="1" si="147"/>
        <v>0</v>
      </c>
      <c r="V333" s="306">
        <f t="shared" ca="1" si="148"/>
        <v>1.0574851290070657</v>
      </c>
      <c r="W333" s="304">
        <f t="shared" ca="1" si="149"/>
        <v>2.0298435574004818</v>
      </c>
      <c r="Y333" s="314" t="str">
        <f t="shared" ca="1" si="167"/>
        <v/>
      </c>
      <c r="Z333" s="315" t="str">
        <f t="shared" ca="1" si="168"/>
        <v/>
      </c>
      <c r="AA333" s="316" t="str">
        <f t="shared" ca="1" si="169"/>
        <v/>
      </c>
      <c r="AC333" s="310" t="e">
        <f t="shared" ca="1" si="170"/>
        <v>#N/A</v>
      </c>
      <c r="AD333" s="323" t="e">
        <f t="shared" ca="1" si="171"/>
        <v>#N/A</v>
      </c>
      <c r="AE333" s="324" t="e">
        <f t="shared" ca="1" si="150"/>
        <v>#N/A</v>
      </c>
      <c r="AG333" s="306">
        <f t="shared" ca="1" si="172"/>
        <v>6.5781872051681702</v>
      </c>
      <c r="AH333" s="304">
        <f t="shared" ca="1" si="173"/>
        <v>-0.65189267525382999</v>
      </c>
    </row>
    <row r="334" spans="1:34" x14ac:dyDescent="0.2">
      <c r="A334" s="347">
        <f t="shared" ca="1" si="151"/>
        <v>0.1</v>
      </c>
      <c r="B334" s="304">
        <f t="shared" ca="1" si="152"/>
        <v>18.19999999999995</v>
      </c>
      <c r="D334" s="306">
        <f t="shared" ca="1" si="153"/>
        <v>-0.44950559308823002</v>
      </c>
      <c r="E334" s="307">
        <f t="shared" ca="1" si="154"/>
        <v>-9.2980081405347601</v>
      </c>
      <c r="F334" s="304">
        <f t="shared" ca="1" si="155"/>
        <v>9.3088673134634519</v>
      </c>
      <c r="G334" s="306">
        <f t="shared" ca="1" si="156"/>
        <v>20.154729169159111</v>
      </c>
      <c r="H334" s="307">
        <f t="shared" ca="1" si="157"/>
        <v>-23.937460215414138</v>
      </c>
      <c r="I334" s="304">
        <f t="shared" ca="1" si="158"/>
        <v>31.292412969387449</v>
      </c>
      <c r="J334" s="306">
        <f t="shared" ca="1" si="159"/>
        <v>501.26581237294204</v>
      </c>
      <c r="K334" s="307">
        <f t="shared" ca="1" si="160"/>
        <v>1465.4815492460955</v>
      </c>
      <c r="L334" s="304">
        <f t="shared" ca="1" si="145"/>
        <v>1548.8394319084989</v>
      </c>
      <c r="M334" s="306">
        <f t="shared" ca="1" si="161"/>
        <v>-0.87098001721500429</v>
      </c>
      <c r="N334" s="304">
        <f t="shared" ca="1" si="162"/>
        <v>-49.903479026651532</v>
      </c>
      <c r="P334" s="310">
        <f t="shared" ca="1" si="163"/>
        <v>23</v>
      </c>
      <c r="Q334" s="304">
        <f t="shared" ca="1" si="164"/>
        <v>0</v>
      </c>
      <c r="R334" s="306">
        <f t="shared" ca="1" si="165"/>
        <v>0</v>
      </c>
      <c r="S334" s="307">
        <f t="shared" ca="1" si="166"/>
        <v>2.9792999999999985</v>
      </c>
      <c r="T334" s="304">
        <f t="shared" ca="1" si="146"/>
        <v>29.226932999999988</v>
      </c>
      <c r="U334" s="311">
        <f t="shared" ca="1" si="147"/>
        <v>0</v>
      </c>
      <c r="V334" s="306">
        <f t="shared" ca="1" si="148"/>
        <v>1.0577347193485611</v>
      </c>
      <c r="W334" s="304">
        <f t="shared" ca="1" si="149"/>
        <v>2.1209368388380487</v>
      </c>
      <c r="Y334" s="314" t="str">
        <f t="shared" ca="1" si="167"/>
        <v/>
      </c>
      <c r="Z334" s="315" t="str">
        <f t="shared" ca="1" si="168"/>
        <v/>
      </c>
      <c r="AA334" s="316" t="str">
        <f t="shared" ca="1" si="169"/>
        <v/>
      </c>
      <c r="AC334" s="310" t="e">
        <f t="shared" ca="1" si="170"/>
        <v>#N/A</v>
      </c>
      <c r="AD334" s="323" t="e">
        <f t="shared" ca="1" si="171"/>
        <v>#N/A</v>
      </c>
      <c r="AE334" s="324" t="e">
        <f t="shared" ca="1" si="150"/>
        <v>#N/A</v>
      </c>
      <c r="AG334" s="306">
        <f t="shared" ca="1" si="172"/>
        <v>6.6906573410548118</v>
      </c>
      <c r="AH334" s="304">
        <f t="shared" ca="1" si="173"/>
        <v>-0.68131559675107667</v>
      </c>
    </row>
    <row r="335" spans="1:34" x14ac:dyDescent="0.2">
      <c r="A335" s="347">
        <f t="shared" ca="1" si="151"/>
        <v>0.1</v>
      </c>
      <c r="B335" s="304">
        <f t="shared" ca="1" si="152"/>
        <v>18.299999999999951</v>
      </c>
      <c r="D335" s="306">
        <f t="shared" ca="1" si="153"/>
        <v>-0.45851274552938376</v>
      </c>
      <c r="E335" s="307">
        <f t="shared" ca="1" si="154"/>
        <v>-9.2654315013488304</v>
      </c>
      <c r="F335" s="304">
        <f t="shared" ca="1" si="155"/>
        <v>9.2767696340913908</v>
      </c>
      <c r="G335" s="306">
        <f t="shared" ca="1" si="156"/>
        <v>20.108877894606174</v>
      </c>
      <c r="H335" s="307">
        <f t="shared" ca="1" si="157"/>
        <v>-24.864003365549021</v>
      </c>
      <c r="I335" s="304">
        <f t="shared" ca="1" si="158"/>
        <v>31.977892887778172</v>
      </c>
      <c r="J335" s="306">
        <f t="shared" ca="1" si="159"/>
        <v>503.2789927261303</v>
      </c>
      <c r="K335" s="307">
        <f t="shared" ca="1" si="160"/>
        <v>1463.0414760670474</v>
      </c>
      <c r="L335" s="304">
        <f t="shared" ca="1" si="145"/>
        <v>1547.1845737376887</v>
      </c>
      <c r="M335" s="306">
        <f t="shared" ca="1" si="161"/>
        <v>-0.8907399444022952</v>
      </c>
      <c r="N335" s="304">
        <f t="shared" ca="1" si="162"/>
        <v>-51.035639457969111</v>
      </c>
      <c r="P335" s="310">
        <f t="shared" ca="1" si="163"/>
        <v>23</v>
      </c>
      <c r="Q335" s="304">
        <f t="shared" ca="1" si="164"/>
        <v>0</v>
      </c>
      <c r="R335" s="306">
        <f t="shared" ca="1" si="165"/>
        <v>0</v>
      </c>
      <c r="S335" s="307">
        <f t="shared" ca="1" si="166"/>
        <v>2.9792999999999985</v>
      </c>
      <c r="T335" s="304">
        <f t="shared" ca="1" si="146"/>
        <v>29.226932999999988</v>
      </c>
      <c r="U335" s="311">
        <f t="shared" ca="1" si="147"/>
        <v>0</v>
      </c>
      <c r="V335" s="306">
        <f t="shared" ca="1" si="148"/>
        <v>1.0579942370767348</v>
      </c>
      <c r="W335" s="304">
        <f t="shared" ca="1" si="149"/>
        <v>2.2154189105700097</v>
      </c>
      <c r="Y335" s="314" t="str">
        <f t="shared" ca="1" si="167"/>
        <v/>
      </c>
      <c r="Z335" s="315" t="str">
        <f t="shared" ca="1" si="168"/>
        <v/>
      </c>
      <c r="AA335" s="316" t="str">
        <f t="shared" ca="1" si="169"/>
        <v/>
      </c>
      <c r="AC335" s="310" t="e">
        <f t="shared" ca="1" si="170"/>
        <v>#N/A</v>
      </c>
      <c r="AD335" s="323" t="e">
        <f t="shared" ca="1" si="171"/>
        <v>#N/A</v>
      </c>
      <c r="AE335" s="324" t="e">
        <f t="shared" ca="1" si="150"/>
        <v>#N/A</v>
      </c>
      <c r="AG335" s="306">
        <f t="shared" ca="1" si="172"/>
        <v>6.7923716187486747</v>
      </c>
      <c r="AH335" s="304">
        <f t="shared" ca="1" si="173"/>
        <v>-0.71189099413890844</v>
      </c>
    </row>
    <row r="336" spans="1:34" x14ac:dyDescent="0.2">
      <c r="A336" s="347">
        <f t="shared" ca="1" si="151"/>
        <v>0.1</v>
      </c>
      <c r="B336" s="304">
        <f t="shared" ca="1" si="152"/>
        <v>18.399999999999952</v>
      </c>
      <c r="D336" s="306">
        <f t="shared" ca="1" si="153"/>
        <v>-0.4676055050247383</v>
      </c>
      <c r="E336" s="307">
        <f t="shared" ca="1" si="154"/>
        <v>-9.2318203068504907</v>
      </c>
      <c r="F336" s="304">
        <f t="shared" ca="1" si="155"/>
        <v>9.2436551799765088</v>
      </c>
      <c r="G336" s="306">
        <f t="shared" ca="1" si="156"/>
        <v>20.062117344103701</v>
      </c>
      <c r="H336" s="307">
        <f t="shared" ca="1" si="157"/>
        <v>-25.787185396234069</v>
      </c>
      <c r="I336" s="304">
        <f t="shared" ca="1" si="158"/>
        <v>32.672120882923018</v>
      </c>
      <c r="J336" s="306">
        <f t="shared" ca="1" si="159"/>
        <v>505.28754248806581</v>
      </c>
      <c r="K336" s="307">
        <f t="shared" ca="1" si="160"/>
        <v>1460.5089166289581</v>
      </c>
      <c r="L336" s="304">
        <f t="shared" ca="1" si="145"/>
        <v>1545.4455008657928</v>
      </c>
      <c r="M336" s="306">
        <f t="shared" ca="1" si="161"/>
        <v>-0.90962226996565143</v>
      </c>
      <c r="N336" s="304">
        <f t="shared" ca="1" si="162"/>
        <v>-52.117517020141406</v>
      </c>
      <c r="P336" s="310">
        <f t="shared" ca="1" si="163"/>
        <v>23</v>
      </c>
      <c r="Q336" s="304">
        <f t="shared" ca="1" si="164"/>
        <v>0</v>
      </c>
      <c r="R336" s="306">
        <f t="shared" ca="1" si="165"/>
        <v>0</v>
      </c>
      <c r="S336" s="307">
        <f t="shared" ca="1" si="166"/>
        <v>2.9792999999999985</v>
      </c>
      <c r="T336" s="304">
        <f t="shared" ca="1" si="146"/>
        <v>29.226932999999988</v>
      </c>
      <c r="U336" s="311">
        <f t="shared" ca="1" si="147"/>
        <v>0</v>
      </c>
      <c r="V336" s="306">
        <f t="shared" ca="1" si="148"/>
        <v>1.0582636537352432</v>
      </c>
      <c r="W336" s="304">
        <f t="shared" ca="1" si="149"/>
        <v>2.3132437868878846</v>
      </c>
      <c r="Y336" s="314" t="str">
        <f t="shared" ca="1" si="167"/>
        <v/>
      </c>
      <c r="Z336" s="315" t="str">
        <f t="shared" ca="1" si="168"/>
        <v/>
      </c>
      <c r="AA336" s="316" t="str">
        <f t="shared" ca="1" si="169"/>
        <v/>
      </c>
      <c r="AC336" s="310" t="e">
        <f t="shared" ca="1" si="170"/>
        <v>#N/A</v>
      </c>
      <c r="AD336" s="323" t="e">
        <f t="shared" ca="1" si="171"/>
        <v>#N/A</v>
      </c>
      <c r="AE336" s="324" t="e">
        <f t="shared" ca="1" si="150"/>
        <v>#N/A</v>
      </c>
      <c r="AG336" s="306">
        <f t="shared" ca="1" si="172"/>
        <v>6.8840367296502469</v>
      </c>
      <c r="AH336" s="304">
        <f t="shared" ca="1" si="173"/>
        <v>-0.74360383666297813</v>
      </c>
    </row>
    <row r="337" spans="1:34" x14ac:dyDescent="0.2">
      <c r="A337" s="347">
        <f t="shared" ca="1" si="151"/>
        <v>0.1</v>
      </c>
      <c r="B337" s="304">
        <f t="shared" ca="1" si="152"/>
        <v>18.499999999999954</v>
      </c>
      <c r="D337" s="306">
        <f t="shared" ca="1" si="153"/>
        <v>-0.47676746024814753</v>
      </c>
      <c r="E337" s="307">
        <f t="shared" ca="1" si="154"/>
        <v>-9.1971787968619374</v>
      </c>
      <c r="F337" s="304">
        <f t="shared" ca="1" si="155"/>
        <v>9.2095279484128962</v>
      </c>
      <c r="G337" s="306">
        <f t="shared" ca="1" si="156"/>
        <v>20.014440598078885</v>
      </c>
      <c r="H337" s="307">
        <f t="shared" ca="1" si="157"/>
        <v>-26.706903275920261</v>
      </c>
      <c r="I337" s="304">
        <f t="shared" ca="1" si="158"/>
        <v>33.374189354101006</v>
      </c>
      <c r="J337" s="306">
        <f t="shared" ca="1" si="159"/>
        <v>507.29137038517496</v>
      </c>
      <c r="K337" s="307">
        <f t="shared" ca="1" si="160"/>
        <v>1457.8842121953503</v>
      </c>
      <c r="L337" s="304">
        <f t="shared" ca="1" si="145"/>
        <v>1543.6226581116662</v>
      </c>
      <c r="M337" s="306">
        <f t="shared" ca="1" si="161"/>
        <v>-0.92767244026921691</v>
      </c>
      <c r="N337" s="304">
        <f t="shared" ca="1" si="162"/>
        <v>-53.151715598028083</v>
      </c>
      <c r="P337" s="310">
        <f t="shared" ca="1" si="163"/>
        <v>23</v>
      </c>
      <c r="Q337" s="304">
        <f t="shared" ca="1" si="164"/>
        <v>0</v>
      </c>
      <c r="R337" s="306">
        <f t="shared" ca="1" si="165"/>
        <v>0</v>
      </c>
      <c r="S337" s="307">
        <f t="shared" ca="1" si="166"/>
        <v>2.9792999999999985</v>
      </c>
      <c r="T337" s="304">
        <f t="shared" ca="1" si="146"/>
        <v>29.226932999999988</v>
      </c>
      <c r="U337" s="311">
        <f t="shared" ca="1" si="147"/>
        <v>0</v>
      </c>
      <c r="V337" s="306">
        <f t="shared" ca="1" si="148"/>
        <v>1.0585429399955191</v>
      </c>
      <c r="W337" s="304">
        <f t="shared" ca="1" si="149"/>
        <v>2.4143642994973984</v>
      </c>
      <c r="Y337" s="314" t="str">
        <f t="shared" ca="1" si="167"/>
        <v/>
      </c>
      <c r="Z337" s="315" t="str">
        <f t="shared" ca="1" si="168"/>
        <v/>
      </c>
      <c r="AA337" s="316" t="str">
        <f t="shared" ca="1" si="169"/>
        <v/>
      </c>
      <c r="AC337" s="310" t="e">
        <f t="shared" ca="1" si="170"/>
        <v>#N/A</v>
      </c>
      <c r="AD337" s="323" t="e">
        <f t="shared" ca="1" si="171"/>
        <v>#N/A</v>
      </c>
      <c r="AE337" s="324" t="e">
        <f t="shared" ca="1" si="150"/>
        <v>#N/A</v>
      </c>
      <c r="AG337" s="306">
        <f t="shared" ca="1" si="172"/>
        <v>6.9663181903384448</v>
      </c>
      <c r="AH337" s="304">
        <f t="shared" ca="1" si="173"/>
        <v>-0.77643868925179937</v>
      </c>
    </row>
    <row r="338" spans="1:34" x14ac:dyDescent="0.2">
      <c r="A338" s="347">
        <f t="shared" ca="1" si="151"/>
        <v>0.1</v>
      </c>
      <c r="B338" s="304">
        <f t="shared" ca="1" si="152"/>
        <v>18.599999999999955</v>
      </c>
      <c r="D338" s="306">
        <f t="shared" ca="1" si="153"/>
        <v>-0.48598324273092292</v>
      </c>
      <c r="E338" s="307">
        <f t="shared" ca="1" si="154"/>
        <v>-9.1615128542449167</v>
      </c>
      <c r="F338" s="304">
        <f t="shared" ca="1" si="155"/>
        <v>9.1743935761831192</v>
      </c>
      <c r="G338" s="306">
        <f t="shared" ca="1" si="156"/>
        <v>19.965842273805791</v>
      </c>
      <c r="H338" s="307">
        <f t="shared" ca="1" si="157"/>
        <v>-27.623054561344752</v>
      </c>
      <c r="I338" s="304">
        <f t="shared" ca="1" si="158"/>
        <v>34.08325103333776</v>
      </c>
      <c r="J338" s="306">
        <f t="shared" ca="1" si="159"/>
        <v>509.29038452876921</v>
      </c>
      <c r="K338" s="307">
        <f t="shared" ca="1" si="160"/>
        <v>1455.1677143034869</v>
      </c>
      <c r="L338" s="304">
        <f t="shared" ca="1" si="145"/>
        <v>1541.7165019953234</v>
      </c>
      <c r="M338" s="306">
        <f t="shared" ca="1" si="161"/>
        <v>-0.94493408969788506</v>
      </c>
      <c r="N338" s="304">
        <f t="shared" ca="1" si="162"/>
        <v>-54.140735257725176</v>
      </c>
      <c r="P338" s="310">
        <f t="shared" ca="1" si="163"/>
        <v>23</v>
      </c>
      <c r="Q338" s="304">
        <f t="shared" ca="1" si="164"/>
        <v>0</v>
      </c>
      <c r="R338" s="306">
        <f t="shared" ca="1" si="165"/>
        <v>0</v>
      </c>
      <c r="S338" s="307">
        <f t="shared" ca="1" si="166"/>
        <v>2.9792999999999985</v>
      </c>
      <c r="T338" s="304">
        <f t="shared" ca="1" si="146"/>
        <v>29.226932999999988</v>
      </c>
      <c r="U338" s="311">
        <f t="shared" ca="1" si="147"/>
        <v>0</v>
      </c>
      <c r="V338" s="306">
        <f t="shared" ca="1" si="148"/>
        <v>1.0588320656581602</v>
      </c>
      <c r="W338" s="304">
        <f t="shared" ca="1" si="149"/>
        <v>2.5187321226707242</v>
      </c>
      <c r="Y338" s="314" t="str">
        <f t="shared" ca="1" si="167"/>
        <v/>
      </c>
      <c r="Z338" s="315" t="str">
        <f t="shared" ca="1" si="168"/>
        <v/>
      </c>
      <c r="AA338" s="316" t="str">
        <f t="shared" ca="1" si="169"/>
        <v/>
      </c>
      <c r="AC338" s="310" t="e">
        <f t="shared" ca="1" si="170"/>
        <v>#N/A</v>
      </c>
      <c r="AD338" s="323" t="e">
        <f t="shared" ca="1" si="171"/>
        <v>#N/A</v>
      </c>
      <c r="AE338" s="324" t="e">
        <f t="shared" ca="1" si="150"/>
        <v>#N/A</v>
      </c>
      <c r="AG338" s="306">
        <f t="shared" ca="1" si="172"/>
        <v>7.0398400519426838</v>
      </c>
      <c r="AH338" s="304">
        <f t="shared" ca="1" si="173"/>
        <v>-0.81037971989977498</v>
      </c>
    </row>
    <row r="339" spans="1:34" x14ac:dyDescent="0.2">
      <c r="A339" s="347">
        <f t="shared" ca="1" si="151"/>
        <v>0.1</v>
      </c>
      <c r="B339" s="304">
        <f t="shared" ca="1" si="152"/>
        <v>18.699999999999957</v>
      </c>
      <c r="D339" s="306">
        <f t="shared" ca="1" si="153"/>
        <v>-0.49523846296796104</v>
      </c>
      <c r="E339" s="307">
        <f t="shared" ca="1" si="154"/>
        <v>-9.1248298531142868</v>
      </c>
      <c r="F339" s="304">
        <f t="shared" ca="1" si="155"/>
        <v>9.1382591878042376</v>
      </c>
      <c r="G339" s="306">
        <f t="shared" ca="1" si="156"/>
        <v>19.916318427508994</v>
      </c>
      <c r="H339" s="307">
        <f t="shared" ca="1" si="157"/>
        <v>-28.53553754665618</v>
      </c>
      <c r="I339" s="304">
        <f t="shared" ca="1" si="158"/>
        <v>34.798514950821662</v>
      </c>
      <c r="J339" s="306">
        <f t="shared" ca="1" si="159"/>
        <v>511.28449256383493</v>
      </c>
      <c r="K339" s="307">
        <f t="shared" ca="1" si="160"/>
        <v>1452.359784698087</v>
      </c>
      <c r="L339" s="304">
        <f t="shared" ca="1" si="145"/>
        <v>1539.7275007430801</v>
      </c>
      <c r="M339" s="306">
        <f t="shared" ca="1" si="161"/>
        <v>-0.96144894075591891</v>
      </c>
      <c r="N339" s="304">
        <f t="shared" ca="1" si="162"/>
        <v>-55.086966522637681</v>
      </c>
      <c r="P339" s="310">
        <f t="shared" ca="1" si="163"/>
        <v>23</v>
      </c>
      <c r="Q339" s="304">
        <f t="shared" ca="1" si="164"/>
        <v>0</v>
      </c>
      <c r="R339" s="306">
        <f t="shared" ca="1" si="165"/>
        <v>0</v>
      </c>
      <c r="S339" s="307">
        <f t="shared" ca="1" si="166"/>
        <v>2.9792999999999985</v>
      </c>
      <c r="T339" s="304">
        <f t="shared" ca="1" si="146"/>
        <v>29.226932999999988</v>
      </c>
      <c r="U339" s="311">
        <f t="shared" ca="1" si="147"/>
        <v>0</v>
      </c>
      <c r="V339" s="306">
        <f t="shared" ca="1" si="148"/>
        <v>1.059130999655878</v>
      </c>
      <c r="W339" s="304">
        <f t="shared" ca="1" si="149"/>
        <v>2.626297801243469</v>
      </c>
      <c r="Y339" s="314" t="str">
        <f t="shared" ca="1" si="167"/>
        <v/>
      </c>
      <c r="Z339" s="315" t="str">
        <f t="shared" ca="1" si="168"/>
        <v/>
      </c>
      <c r="AA339" s="316" t="str">
        <f t="shared" ca="1" si="169"/>
        <v/>
      </c>
      <c r="AC339" s="310" t="e">
        <f t="shared" ca="1" si="170"/>
        <v>#N/A</v>
      </c>
      <c r="AD339" s="323" t="e">
        <f t="shared" ca="1" si="171"/>
        <v>#N/A</v>
      </c>
      <c r="AE339" s="324" t="e">
        <f t="shared" ca="1" si="150"/>
        <v>#N/A</v>
      </c>
      <c r="AG339" s="306">
        <f t="shared" ca="1" si="172"/>
        <v>7.1051854654109166</v>
      </c>
      <c r="AH339" s="304">
        <f t="shared" ca="1" si="173"/>
        <v>-0.8454107081095309</v>
      </c>
    </row>
    <row r="340" spans="1:34" x14ac:dyDescent="0.2">
      <c r="A340" s="347">
        <f t="shared" ca="1" si="151"/>
        <v>0.1</v>
      </c>
      <c r="B340" s="304">
        <f t="shared" ca="1" si="152"/>
        <v>18.799999999999958</v>
      </c>
      <c r="D340" s="306">
        <f t="shared" ca="1" si="153"/>
        <v>-0.50451964817107076</v>
      </c>
      <c r="E340" s="307">
        <f t="shared" ca="1" si="154"/>
        <v>-9.0871385225732197</v>
      </c>
      <c r="F340" s="304">
        <f t="shared" ca="1" si="155"/>
        <v>9.1011332593158354</v>
      </c>
      <c r="G340" s="306">
        <f t="shared" ca="1" si="156"/>
        <v>19.865866462691887</v>
      </c>
      <c r="H340" s="307">
        <f t="shared" ca="1" si="157"/>
        <v>-29.444251398913501</v>
      </c>
      <c r="I340" s="304">
        <f t="shared" ca="1" si="158"/>
        <v>35.519242541978933</v>
      </c>
      <c r="J340" s="306">
        <f t="shared" ca="1" si="159"/>
        <v>513.27360180834501</v>
      </c>
      <c r="K340" s="307">
        <f t="shared" ca="1" si="160"/>
        <v>1449.4607952508086</v>
      </c>
      <c r="L340" s="304">
        <f t="shared" ca="1" si="145"/>
        <v>1537.6561342778878</v>
      </c>
      <c r="M340" s="306">
        <f t="shared" ca="1" si="161"/>
        <v>-0.97725675230664921</v>
      </c>
      <c r="N340" s="304">
        <f t="shared" ca="1" si="162"/>
        <v>-55.992687407832676</v>
      </c>
      <c r="P340" s="310">
        <f t="shared" ca="1" si="163"/>
        <v>23</v>
      </c>
      <c r="Q340" s="304">
        <f t="shared" ca="1" si="164"/>
        <v>0</v>
      </c>
      <c r="R340" s="306">
        <f t="shared" ca="1" si="165"/>
        <v>0</v>
      </c>
      <c r="S340" s="307">
        <f t="shared" ca="1" si="166"/>
        <v>2.9792999999999985</v>
      </c>
      <c r="T340" s="304">
        <f t="shared" ca="1" si="146"/>
        <v>29.226932999999988</v>
      </c>
      <c r="U340" s="311">
        <f t="shared" ca="1" si="147"/>
        <v>0</v>
      </c>
      <c r="V340" s="306">
        <f t="shared" ca="1" si="148"/>
        <v>1.0594397100578512</v>
      </c>
      <c r="W340" s="304">
        <f t="shared" ca="1" si="149"/>
        <v>2.7370107811723479</v>
      </c>
      <c r="Y340" s="314" t="str">
        <f t="shared" ca="1" si="167"/>
        <v/>
      </c>
      <c r="Z340" s="315" t="str">
        <f t="shared" ca="1" si="168"/>
        <v/>
      </c>
      <c r="AA340" s="316" t="str">
        <f t="shared" ca="1" si="169"/>
        <v/>
      </c>
      <c r="AC340" s="310" t="e">
        <f t="shared" ca="1" si="170"/>
        <v>#N/A</v>
      </c>
      <c r="AD340" s="323" t="e">
        <f t="shared" ca="1" si="171"/>
        <v>#N/A</v>
      </c>
      <c r="AE340" s="324" t="e">
        <f t="shared" ca="1" si="150"/>
        <v>#N/A</v>
      </c>
      <c r="AG340" s="306">
        <f t="shared" ca="1" si="172"/>
        <v>7.1628978675930126</v>
      </c>
      <c r="AH340" s="304">
        <f t="shared" ca="1" si="173"/>
        <v>-0.88151505428908483</v>
      </c>
    </row>
    <row r="341" spans="1:34" x14ac:dyDescent="0.2">
      <c r="A341" s="347">
        <f t="shared" ca="1" si="151"/>
        <v>0.1</v>
      </c>
      <c r="B341" s="304">
        <f t="shared" ca="1" si="152"/>
        <v>18.899999999999959</v>
      </c>
      <c r="D341" s="306">
        <f t="shared" ca="1" si="153"/>
        <v>-0.51381418241809729</v>
      </c>
      <c r="E341" s="307">
        <f t="shared" ca="1" si="154"/>
        <v>-9.0484488243763401</v>
      </c>
      <c r="F341" s="304">
        <f t="shared" ca="1" si="155"/>
        <v>9.0630254960146477</v>
      </c>
      <c r="G341" s="306">
        <f t="shared" ca="1" si="156"/>
        <v>19.814485044450077</v>
      </c>
      <c r="H341" s="307">
        <f t="shared" ca="1" si="157"/>
        <v>-30.349096281351134</v>
      </c>
      <c r="I341" s="304">
        <f t="shared" ca="1" si="158"/>
        <v>36.244743931657965</v>
      </c>
      <c r="J341" s="306">
        <f t="shared" ca="1" si="159"/>
        <v>515.25761938370215</v>
      </c>
      <c r="K341" s="307">
        <f t="shared" ca="1" si="160"/>
        <v>1446.4711278667953</v>
      </c>
      <c r="L341" s="304">
        <f t="shared" ca="1" si="145"/>
        <v>1535.5028941962953</v>
      </c>
      <c r="M341" s="306">
        <f t="shared" ca="1" si="161"/>
        <v>-0.99239530567031964</v>
      </c>
      <c r="N341" s="304">
        <f t="shared" ca="1" si="162"/>
        <v>-56.860062623504568</v>
      </c>
      <c r="P341" s="310">
        <f t="shared" ca="1" si="163"/>
        <v>23</v>
      </c>
      <c r="Q341" s="304">
        <f t="shared" ca="1" si="164"/>
        <v>0</v>
      </c>
      <c r="R341" s="306">
        <f t="shared" ca="1" si="165"/>
        <v>0</v>
      </c>
      <c r="S341" s="307">
        <f t="shared" ca="1" si="166"/>
        <v>2.9792999999999985</v>
      </c>
      <c r="T341" s="304">
        <f t="shared" ca="1" si="146"/>
        <v>29.226932999999988</v>
      </c>
      <c r="U341" s="311">
        <f t="shared" ca="1" si="147"/>
        <v>0</v>
      </c>
      <c r="V341" s="306">
        <f t="shared" ca="1" si="148"/>
        <v>1.0597581640753526</v>
      </c>
      <c r="W341" s="304">
        <f t="shared" ca="1" si="149"/>
        <v>2.8508194423941449</v>
      </c>
      <c r="Y341" s="314" t="str">
        <f t="shared" ca="1" si="167"/>
        <v/>
      </c>
      <c r="Z341" s="315" t="str">
        <f t="shared" ca="1" si="168"/>
        <v/>
      </c>
      <c r="AA341" s="316" t="str">
        <f t="shared" ca="1" si="169"/>
        <v/>
      </c>
      <c r="AC341" s="310" t="e">
        <f t="shared" ca="1" si="170"/>
        <v>#N/A</v>
      </c>
      <c r="AD341" s="323" t="e">
        <f t="shared" ca="1" si="171"/>
        <v>#N/A</v>
      </c>
      <c r="AE341" s="324" t="e">
        <f t="shared" ca="1" si="150"/>
        <v>#N/A</v>
      </c>
      <c r="AG341" s="306">
        <f t="shared" ca="1" si="172"/>
        <v>7.2134825994042764</v>
      </c>
      <c r="AH341" s="304">
        <f t="shared" ca="1" si="173"/>
        <v>-0.91867579000850841</v>
      </c>
    </row>
    <row r="342" spans="1:34" x14ac:dyDescent="0.2">
      <c r="A342" s="347">
        <f t="shared" ca="1" si="151"/>
        <v>0.1</v>
      </c>
      <c r="B342" s="304">
        <f t="shared" ca="1" si="152"/>
        <v>18.999999999999961</v>
      </c>
      <c r="D342" s="306">
        <f t="shared" ca="1" si="153"/>
        <v>-0.52311024969483033</v>
      </c>
      <c r="E342" s="307">
        <f t="shared" ca="1" si="154"/>
        <v>-9.0087718430160884</v>
      </c>
      <c r="F342" s="304">
        <f t="shared" ca="1" si="155"/>
        <v>9.0239467226294767</v>
      </c>
      <c r="G342" s="306">
        <f t="shared" ca="1" si="156"/>
        <v>19.762174019480593</v>
      </c>
      <c r="H342" s="307">
        <f t="shared" ca="1" si="157"/>
        <v>-31.249973465652744</v>
      </c>
      <c r="I342" s="304">
        <f t="shared" ca="1" si="158"/>
        <v>36.974374417699543</v>
      </c>
      <c r="J342" s="306">
        <f t="shared" ca="1" si="159"/>
        <v>517.23645233689865</v>
      </c>
      <c r="K342" s="307">
        <f t="shared" ca="1" si="160"/>
        <v>1443.3911743794451</v>
      </c>
      <c r="L342" s="304">
        <f t="shared" ca="1" si="145"/>
        <v>1533.2682837333246</v>
      </c>
      <c r="M342" s="306">
        <f t="shared" ca="1" si="161"/>
        <v>-1.0069004199929936</v>
      </c>
      <c r="N342" s="304">
        <f t="shared" ca="1" si="162"/>
        <v>-57.691144455548553</v>
      </c>
      <c r="P342" s="310">
        <f t="shared" ca="1" si="163"/>
        <v>23</v>
      </c>
      <c r="Q342" s="304">
        <f t="shared" ca="1" si="164"/>
        <v>0</v>
      </c>
      <c r="R342" s="306">
        <f t="shared" ca="1" si="165"/>
        <v>0</v>
      </c>
      <c r="S342" s="307">
        <f t="shared" ca="1" si="166"/>
        <v>2.9792999999999985</v>
      </c>
      <c r="T342" s="304">
        <f t="shared" ca="1" si="146"/>
        <v>29.226932999999988</v>
      </c>
      <c r="U342" s="311">
        <f t="shared" ca="1" si="147"/>
        <v>0</v>
      </c>
      <c r="V342" s="306">
        <f t="shared" ca="1" si="148"/>
        <v>1.0600863280685371</v>
      </c>
      <c r="W342" s="304">
        <f t="shared" ca="1" si="149"/>
        <v>2.9676711337485915</v>
      </c>
      <c r="Y342" s="314" t="str">
        <f t="shared" ca="1" si="167"/>
        <v/>
      </c>
      <c r="Z342" s="315" t="str">
        <f t="shared" ca="1" si="168"/>
        <v/>
      </c>
      <c r="AA342" s="316" t="str">
        <f t="shared" ca="1" si="169"/>
        <v/>
      </c>
      <c r="AC342" s="310">
        <f t="shared" ca="1" si="170"/>
        <v>18.999999999999961</v>
      </c>
      <c r="AD342" s="323">
        <f t="shared" ca="1" si="171"/>
        <v>517.23645233689865</v>
      </c>
      <c r="AE342" s="324" t="e">
        <f t="shared" ca="1" si="150"/>
        <v>#N/A</v>
      </c>
      <c r="AG342" s="306">
        <f t="shared" ca="1" si="172"/>
        <v>7.2574088071150307</v>
      </c>
      <c r="AH342" s="304">
        <f t="shared" ca="1" si="173"/>
        <v>-0.95687558902901559</v>
      </c>
    </row>
    <row r="343" spans="1:34" x14ac:dyDescent="0.2">
      <c r="A343" s="347">
        <f t="shared" ca="1" si="151"/>
        <v>0.1</v>
      </c>
      <c r="B343" s="304">
        <f t="shared" ca="1" si="152"/>
        <v>19.099999999999962</v>
      </c>
      <c r="D343" s="306">
        <f t="shared" ca="1" si="153"/>
        <v>-0.53239678013075642</v>
      </c>
      <c r="E343" s="307">
        <f t="shared" ca="1" si="154"/>
        <v>-8.9681196868378574</v>
      </c>
      <c r="F343" s="304">
        <f t="shared" ca="1" si="155"/>
        <v>8.9839087845404091</v>
      </c>
      <c r="G343" s="306">
        <f t="shared" ca="1" si="156"/>
        <v>19.708934341467518</v>
      </c>
      <c r="H343" s="307">
        <f t="shared" ca="1" si="157"/>
        <v>-32.146785434336529</v>
      </c>
      <c r="I343" s="304">
        <f t="shared" ca="1" si="158"/>
        <v>37.707531166035636</v>
      </c>
      <c r="J343" s="306">
        <f t="shared" ca="1" si="159"/>
        <v>519.2100077549461</v>
      </c>
      <c r="K343" s="307">
        <f t="shared" ca="1" si="160"/>
        <v>1440.2213364344457</v>
      </c>
      <c r="L343" s="304">
        <f t="shared" ca="1" si="145"/>
        <v>1530.9528177164416</v>
      </c>
      <c r="M343" s="306">
        <f t="shared" ca="1" si="161"/>
        <v>-1.0208059897966577</v>
      </c>
      <c r="N343" s="304">
        <f t="shared" ca="1" si="162"/>
        <v>-58.487874917023063</v>
      </c>
      <c r="P343" s="310">
        <f t="shared" ca="1" si="163"/>
        <v>23</v>
      </c>
      <c r="Q343" s="304">
        <f t="shared" ca="1" si="164"/>
        <v>0</v>
      </c>
      <c r="R343" s="306">
        <f t="shared" ca="1" si="165"/>
        <v>0</v>
      </c>
      <c r="S343" s="307">
        <f t="shared" ca="1" si="166"/>
        <v>2.9792999999999985</v>
      </c>
      <c r="T343" s="304">
        <f t="shared" ca="1" si="146"/>
        <v>29.226932999999988</v>
      </c>
      <c r="U343" s="311">
        <f t="shared" ca="1" si="147"/>
        <v>0</v>
      </c>
      <c r="V343" s="306">
        <f t="shared" ca="1" si="148"/>
        <v>1.0604241675542703</v>
      </c>
      <c r="W343" s="304">
        <f t="shared" ca="1" si="149"/>
        <v>3.0875122097474001</v>
      </c>
      <c r="Y343" s="314" t="str">
        <f t="shared" ca="1" si="167"/>
        <v/>
      </c>
      <c r="Z343" s="315" t="str">
        <f t="shared" ca="1" si="168"/>
        <v/>
      </c>
      <c r="AA343" s="316" t="str">
        <f t="shared" ca="1" si="169"/>
        <v/>
      </c>
      <c r="AC343" s="310" t="e">
        <f t="shared" ca="1" si="170"/>
        <v>#N/A</v>
      </c>
      <c r="AD343" s="323" t="e">
        <f t="shared" ca="1" si="171"/>
        <v>#N/A</v>
      </c>
      <c r="AE343" s="324" t="e">
        <f t="shared" ca="1" si="150"/>
        <v>#N/A</v>
      </c>
      <c r="AG343" s="306">
        <f t="shared" ca="1" si="172"/>
        <v>7.2951115112039808</v>
      </c>
      <c r="AH343" s="304">
        <f t="shared" ca="1" si="173"/>
        <v>-0.99609677902480209</v>
      </c>
    </row>
    <row r="344" spans="1:34" x14ac:dyDescent="0.2">
      <c r="A344" s="347">
        <f t="shared" ca="1" si="151"/>
        <v>0.1</v>
      </c>
      <c r="B344" s="304">
        <f t="shared" ca="1" si="152"/>
        <v>19.199999999999964</v>
      </c>
      <c r="D344" s="306">
        <f t="shared" ca="1" si="153"/>
        <v>-0.54166339957989262</v>
      </c>
      <c r="E344" s="307">
        <f t="shared" ca="1" si="154"/>
        <v>-8.9265053989097858</v>
      </c>
      <c r="F344" s="304">
        <f t="shared" ca="1" si="155"/>
        <v>8.9429244587668304</v>
      </c>
      <c r="G344" s="306">
        <f t="shared" ca="1" si="156"/>
        <v>19.654768001509527</v>
      </c>
      <c r="H344" s="307">
        <f t="shared" ca="1" si="157"/>
        <v>-33.039435974227509</v>
      </c>
      <c r="I344" s="304">
        <f t="shared" ca="1" si="158"/>
        <v>38.443650121811295</v>
      </c>
      <c r="J344" s="306">
        <f t="shared" ca="1" si="159"/>
        <v>521.178192872095</v>
      </c>
      <c r="K344" s="307">
        <f t="shared" ca="1" si="160"/>
        <v>1436.9620253640176</v>
      </c>
      <c r="L344" s="304">
        <f t="shared" ca="1" si="145"/>
        <v>1528.5570225096876</v>
      </c>
      <c r="M344" s="306">
        <f t="shared" ca="1" si="161"/>
        <v>-1.0341440389180994</v>
      </c>
      <c r="N344" s="304">
        <f t="shared" ca="1" si="162"/>
        <v>-59.252088838619848</v>
      </c>
      <c r="P344" s="310">
        <f t="shared" ca="1" si="163"/>
        <v>23</v>
      </c>
      <c r="Q344" s="304">
        <f t="shared" ca="1" si="164"/>
        <v>0</v>
      </c>
      <c r="R344" s="306">
        <f t="shared" ca="1" si="165"/>
        <v>0</v>
      </c>
      <c r="S344" s="307">
        <f t="shared" ca="1" si="166"/>
        <v>2.9792999999999985</v>
      </c>
      <c r="T344" s="304">
        <f t="shared" ca="1" si="146"/>
        <v>29.226932999999988</v>
      </c>
      <c r="U344" s="311">
        <f t="shared" ca="1" si="147"/>
        <v>0</v>
      </c>
      <c r="V344" s="306">
        <f t="shared" ca="1" si="148"/>
        <v>1.0607716472149202</v>
      </c>
      <c r="W344" s="304">
        <f t="shared" ca="1" si="149"/>
        <v>3.2102880689893789</v>
      </c>
      <c r="Y344" s="314" t="str">
        <f t="shared" ca="1" si="167"/>
        <v/>
      </c>
      <c r="Z344" s="315" t="str">
        <f t="shared" ca="1" si="168"/>
        <v/>
      </c>
      <c r="AA344" s="316" t="str">
        <f t="shared" ca="1" si="169"/>
        <v/>
      </c>
      <c r="AC344" s="310" t="e">
        <f t="shared" ca="1" si="170"/>
        <v>#N/A</v>
      </c>
      <c r="AD344" s="323" t="e">
        <f t="shared" ca="1" si="171"/>
        <v>#N/A</v>
      </c>
      <c r="AE344" s="324" t="e">
        <f t="shared" ca="1" si="150"/>
        <v>#N/A</v>
      </c>
      <c r="AG344" s="306">
        <f t="shared" ca="1" si="172"/>
        <v>7.3269937547266411</v>
      </c>
      <c r="AH344" s="304">
        <f t="shared" ca="1" si="173"/>
        <v>-1.0363213539245466</v>
      </c>
    </row>
    <row r="345" spans="1:34" x14ac:dyDescent="0.2">
      <c r="A345" s="347">
        <f t="shared" ca="1" si="151"/>
        <v>0.1</v>
      </c>
      <c r="B345" s="304">
        <f t="shared" ca="1" si="152"/>
        <v>19.299999999999965</v>
      </c>
      <c r="D345" s="306">
        <f t="shared" ca="1" si="153"/>
        <v>-0.55090038258573826</v>
      </c>
      <c r="E345" s="307">
        <f t="shared" ca="1" si="154"/>
        <v>-8.8839428764958708</v>
      </c>
      <c r="F345" s="304">
        <f t="shared" ca="1" si="155"/>
        <v>8.9010073735715363</v>
      </c>
      <c r="G345" s="306">
        <f t="shared" ca="1" si="156"/>
        <v>19.599677963250954</v>
      </c>
      <c r="H345" s="307">
        <f t="shared" ca="1" si="157"/>
        <v>-33.927830261877098</v>
      </c>
      <c r="I345" s="304">
        <f t="shared" ca="1" si="158"/>
        <v>39.182203135376248</v>
      </c>
      <c r="J345" s="306">
        <f t="shared" ca="1" si="159"/>
        <v>523.14091517033307</v>
      </c>
      <c r="K345" s="307">
        <f t="shared" ca="1" si="160"/>
        <v>1433.6136620522122</v>
      </c>
      <c r="L345" s="304">
        <f t="shared" ca="1" si="145"/>
        <v>1526.0814359489498</v>
      </c>
      <c r="M345" s="306">
        <f t="shared" ca="1" si="161"/>
        <v>-1.0469447861516596</v>
      </c>
      <c r="N345" s="304">
        <f t="shared" ca="1" si="162"/>
        <v>-59.985517629716611</v>
      </c>
      <c r="P345" s="310">
        <f t="shared" ca="1" si="163"/>
        <v>23</v>
      </c>
      <c r="Q345" s="304">
        <f t="shared" ca="1" si="164"/>
        <v>0</v>
      </c>
      <c r="R345" s="306">
        <f t="shared" ca="1" si="165"/>
        <v>0</v>
      </c>
      <c r="S345" s="307">
        <f t="shared" ca="1" si="166"/>
        <v>2.9792999999999985</v>
      </c>
      <c r="T345" s="304">
        <f t="shared" ca="1" si="146"/>
        <v>29.226932999999988</v>
      </c>
      <c r="U345" s="311">
        <f t="shared" ca="1" si="147"/>
        <v>0</v>
      </c>
      <c r="V345" s="306">
        <f t="shared" ca="1" si="148"/>
        <v>1.0611287309080097</v>
      </c>
      <c r="W345" s="304">
        <f t="shared" ca="1" si="149"/>
        <v>3.3359431940369593</v>
      </c>
      <c r="Y345" s="314" t="str">
        <f t="shared" ca="1" si="167"/>
        <v/>
      </c>
      <c r="Z345" s="315" t="str">
        <f t="shared" ca="1" si="168"/>
        <v/>
      </c>
      <c r="AA345" s="316" t="str">
        <f t="shared" ca="1" si="169"/>
        <v/>
      </c>
      <c r="AC345" s="310" t="e">
        <f t="shared" ca="1" si="170"/>
        <v>#N/A</v>
      </c>
      <c r="AD345" s="323" t="e">
        <f t="shared" ca="1" si="171"/>
        <v>#N/A</v>
      </c>
      <c r="AE345" s="324" t="e">
        <f t="shared" ca="1" si="150"/>
        <v>#N/A</v>
      </c>
      <c r="AG345" s="306">
        <f t="shared" ca="1" si="172"/>
        <v>7.3534287654601904</v>
      </c>
      <c r="AH345" s="304">
        <f t="shared" ca="1" si="173"/>
        <v>-1.0775309868054175</v>
      </c>
    </row>
    <row r="346" spans="1:34" x14ac:dyDescent="0.2">
      <c r="A346" s="347">
        <f t="shared" ca="1" si="151"/>
        <v>0.1</v>
      </c>
      <c r="B346" s="304">
        <f t="shared" ca="1" si="152"/>
        <v>19.399999999999967</v>
      </c>
      <c r="D346" s="306">
        <f t="shared" ca="1" si="153"/>
        <v>-0.56009860868723638</v>
      </c>
      <c r="E346" s="307">
        <f t="shared" ca="1" si="154"/>
        <v>-8.8404467981012633</v>
      </c>
      <c r="F346" s="304">
        <f t="shared" ca="1" si="155"/>
        <v>8.8581719356485884</v>
      </c>
      <c r="G346" s="306">
        <f t="shared" ca="1" si="156"/>
        <v>19.543668102382231</v>
      </c>
      <c r="H346" s="307">
        <f t="shared" ca="1" si="157"/>
        <v>-34.811874941687222</v>
      </c>
      <c r="I346" s="304">
        <f t="shared" ca="1" si="158"/>
        <v>39.922695297934773</v>
      </c>
      <c r="J346" s="306">
        <f t="shared" ca="1" si="159"/>
        <v>525.09808247361468</v>
      </c>
      <c r="K346" s="307">
        <f t="shared" ca="1" si="160"/>
        <v>1430.176676792034</v>
      </c>
      <c r="L346" s="304">
        <f t="shared" ca="1" si="145"/>
        <v>1523.5266072692571</v>
      </c>
      <c r="M346" s="306">
        <f t="shared" ca="1" si="161"/>
        <v>-1.0592367188446459</v>
      </c>
      <c r="N346" s="304">
        <f t="shared" ca="1" si="162"/>
        <v>-60.689793495083599</v>
      </c>
      <c r="P346" s="310">
        <f t="shared" ca="1" si="163"/>
        <v>23</v>
      </c>
      <c r="Q346" s="304">
        <f t="shared" ca="1" si="164"/>
        <v>0</v>
      </c>
      <c r="R346" s="306">
        <f t="shared" ca="1" si="165"/>
        <v>0</v>
      </c>
      <c r="S346" s="307">
        <f t="shared" ca="1" si="166"/>
        <v>2.9792999999999985</v>
      </c>
      <c r="T346" s="304">
        <f t="shared" ca="1" si="146"/>
        <v>29.226932999999988</v>
      </c>
      <c r="U346" s="311">
        <f t="shared" ca="1" si="147"/>
        <v>0</v>
      </c>
      <c r="V346" s="306">
        <f t="shared" ca="1" si="148"/>
        <v>1.0614953816766666</v>
      </c>
      <c r="W346" s="304">
        <f t="shared" ca="1" si="149"/>
        <v>3.464421192583456</v>
      </c>
      <c r="Y346" s="314" t="str">
        <f t="shared" ca="1" si="167"/>
        <v/>
      </c>
      <c r="Z346" s="315" t="str">
        <f t="shared" ca="1" si="168"/>
        <v/>
      </c>
      <c r="AA346" s="316" t="str">
        <f t="shared" ca="1" si="169"/>
        <v/>
      </c>
      <c r="AC346" s="310" t="e">
        <f t="shared" ca="1" si="170"/>
        <v>#N/A</v>
      </c>
      <c r="AD346" s="323" t="e">
        <f t="shared" ca="1" si="171"/>
        <v>#N/A</v>
      </c>
      <c r="AE346" s="324" t="e">
        <f t="shared" ca="1" si="150"/>
        <v>#N/A</v>
      </c>
      <c r="AG346" s="306">
        <f t="shared" ca="1" si="172"/>
        <v>7.3747620839193786</v>
      </c>
      <c r="AH346" s="304">
        <f t="shared" ca="1" si="173"/>
        <v>-1.1197070432776024</v>
      </c>
    </row>
    <row r="347" spans="1:34" x14ac:dyDescent="0.2">
      <c r="A347" s="347">
        <f t="shared" ca="1" si="151"/>
        <v>0.1</v>
      </c>
      <c r="B347" s="304">
        <f t="shared" ca="1" si="152"/>
        <v>19.499999999999968</v>
      </c>
      <c r="D347" s="306">
        <f t="shared" ca="1" si="153"/>
        <v>-0.56924952196438605</v>
      </c>
      <c r="E347" s="307">
        <f t="shared" ca="1" si="154"/>
        <v>-8.7960325571726266</v>
      </c>
      <c r="F347" s="304">
        <f t="shared" ca="1" si="155"/>
        <v>8.8144332639766176</v>
      </c>
      <c r="G347" s="306">
        <f t="shared" ca="1" si="156"/>
        <v>19.486743150185792</v>
      </c>
      <c r="H347" s="307">
        <f t="shared" ca="1" si="157"/>
        <v>-35.691478197404486</v>
      </c>
      <c r="I347" s="304">
        <f t="shared" ca="1" si="158"/>
        <v>40.664662478829364</v>
      </c>
      <c r="J347" s="306">
        <f t="shared" ca="1" si="159"/>
        <v>527.04960303624307</v>
      </c>
      <c r="K347" s="307">
        <f t="shared" ca="1" si="160"/>
        <v>1426.6515091350793</v>
      </c>
      <c r="L347" s="304">
        <f t="shared" ca="1" si="145"/>
        <v>1520.8930970249226</v>
      </c>
      <c r="M347" s="306">
        <f t="shared" ca="1" si="161"/>
        <v>-1.0710466714729749</v>
      </c>
      <c r="N347" s="304">
        <f t="shared" ca="1" si="162"/>
        <v>-61.366453936936288</v>
      </c>
      <c r="P347" s="310">
        <f t="shared" ca="1" si="163"/>
        <v>23</v>
      </c>
      <c r="Q347" s="304">
        <f t="shared" ca="1" si="164"/>
        <v>0</v>
      </c>
      <c r="R347" s="306">
        <f t="shared" ca="1" si="165"/>
        <v>0</v>
      </c>
      <c r="S347" s="307">
        <f t="shared" ca="1" si="166"/>
        <v>2.9792999999999985</v>
      </c>
      <c r="T347" s="304">
        <f t="shared" ca="1" si="146"/>
        <v>29.226932999999988</v>
      </c>
      <c r="U347" s="311">
        <f t="shared" ca="1" si="147"/>
        <v>0</v>
      </c>
      <c r="V347" s="306">
        <f t="shared" ca="1" si="148"/>
        <v>1.0618715617607934</v>
      </c>
      <c r="W347" s="304">
        <f t="shared" ca="1" si="149"/>
        <v>3.5956648397526036</v>
      </c>
      <c r="Y347" s="314" t="str">
        <f t="shared" ca="1" si="167"/>
        <v/>
      </c>
      <c r="Z347" s="315" t="str">
        <f t="shared" ca="1" si="168"/>
        <v/>
      </c>
      <c r="AA347" s="316" t="str">
        <f t="shared" ca="1" si="169"/>
        <v/>
      </c>
      <c r="AC347" s="310" t="e">
        <f t="shared" ca="1" si="170"/>
        <v>#N/A</v>
      </c>
      <c r="AD347" s="323" t="e">
        <f t="shared" ca="1" si="171"/>
        <v>#N/A</v>
      </c>
      <c r="AE347" s="324" t="e">
        <f t="shared" ca="1" si="150"/>
        <v>#N/A</v>
      </c>
      <c r="AG347" s="306">
        <f t="shared" ca="1" si="172"/>
        <v>7.3913136234029704</v>
      </c>
      <c r="AH347" s="304">
        <f t="shared" ca="1" si="173"/>
        <v>-1.1628305953020701</v>
      </c>
    </row>
    <row r="348" spans="1:34" x14ac:dyDescent="0.2">
      <c r="A348" s="347">
        <f t="shared" ca="1" si="151"/>
        <v>0.1</v>
      </c>
      <c r="B348" s="304">
        <f t="shared" ca="1" si="152"/>
        <v>19.599999999999969</v>
      </c>
      <c r="D348" s="306">
        <f t="shared" ca="1" si="153"/>
        <v>-0.5783450936824579</v>
      </c>
      <c r="E348" s="307">
        <f t="shared" ca="1" si="154"/>
        <v>-8.7507162016426285</v>
      </c>
      <c r="F348" s="304">
        <f t="shared" ca="1" si="155"/>
        <v>8.769807129525562</v>
      </c>
      <c r="G348" s="306">
        <f t="shared" ca="1" si="156"/>
        <v>19.428908640817546</v>
      </c>
      <c r="H348" s="307">
        <f t="shared" ca="1" si="157"/>
        <v>-36.566549817568749</v>
      </c>
      <c r="I348" s="304">
        <f t="shared" ca="1" si="158"/>
        <v>41.407669054584218</v>
      </c>
      <c r="J348" s="306">
        <f t="shared" ca="1" si="159"/>
        <v>528.99538562579323</v>
      </c>
      <c r="K348" s="307">
        <f t="shared" ca="1" si="160"/>
        <v>1423.0386077343308</v>
      </c>
      <c r="L348" s="304">
        <f t="shared" ca="1" si="145"/>
        <v>1518.1814770032745</v>
      </c>
      <c r="M348" s="306">
        <f t="shared" ca="1" si="161"/>
        <v>-1.0823999068682166</v>
      </c>
      <c r="N348" s="304">
        <f t="shared" ca="1" si="162"/>
        <v>-62.016946408902179</v>
      </c>
      <c r="P348" s="310">
        <f t="shared" ca="1" si="163"/>
        <v>23</v>
      </c>
      <c r="Q348" s="304">
        <f t="shared" ca="1" si="164"/>
        <v>0</v>
      </c>
      <c r="R348" s="306">
        <f t="shared" ca="1" si="165"/>
        <v>0</v>
      </c>
      <c r="S348" s="307">
        <f t="shared" ca="1" si="166"/>
        <v>2.9792999999999985</v>
      </c>
      <c r="T348" s="304">
        <f t="shared" ca="1" si="146"/>
        <v>29.226932999999988</v>
      </c>
      <c r="U348" s="311">
        <f t="shared" ca="1" si="147"/>
        <v>0</v>
      </c>
      <c r="V348" s="306">
        <f t="shared" ca="1" si="148"/>
        <v>1.0622572326088977</v>
      </c>
      <c r="W348" s="304">
        <f t="shared" ca="1" si="149"/>
        <v>3.7296161213829109</v>
      </c>
      <c r="Y348" s="314" t="str">
        <f t="shared" ca="1" si="167"/>
        <v/>
      </c>
      <c r="Z348" s="315" t="str">
        <f t="shared" ca="1" si="168"/>
        <v/>
      </c>
      <c r="AA348" s="316" t="str">
        <f t="shared" ca="1" si="169"/>
        <v/>
      </c>
      <c r="AC348" s="310" t="e">
        <f t="shared" ca="1" si="170"/>
        <v>#N/A</v>
      </c>
      <c r="AD348" s="323" t="e">
        <f t="shared" ca="1" si="171"/>
        <v>#N/A</v>
      </c>
      <c r="AE348" s="324" t="e">
        <f t="shared" ca="1" si="150"/>
        <v>#N/A</v>
      </c>
      <c r="AG348" s="306">
        <f t="shared" ca="1" si="172"/>
        <v>7.4033796391787643</v>
      </c>
      <c r="AH348" s="304">
        <f t="shared" ca="1" si="173"/>
        <v>-1.2068824353883816</v>
      </c>
    </row>
    <row r="349" spans="1:34" x14ac:dyDescent="0.2">
      <c r="A349" s="347">
        <f t="shared" ca="1" si="151"/>
        <v>0.1</v>
      </c>
      <c r="B349" s="304">
        <f t="shared" ca="1" si="152"/>
        <v>19.699999999999971</v>
      </c>
      <c r="D349" s="306">
        <f t="shared" ca="1" si="153"/>
        <v>-0.587377787868399</v>
      </c>
      <c r="E349" s="307">
        <f t="shared" ca="1" si="154"/>
        <v>-8.704514378604884</v>
      </c>
      <c r="F349" s="304">
        <f t="shared" ca="1" si="155"/>
        <v>8.7243099001021474</v>
      </c>
      <c r="G349" s="306">
        <f t="shared" ca="1" si="156"/>
        <v>19.370170862030708</v>
      </c>
      <c r="H349" s="307">
        <f t="shared" ca="1" si="157"/>
        <v>-37.437001255429237</v>
      </c>
      <c r="I349" s="304">
        <f t="shared" ca="1" si="158"/>
        <v>42.151305818720182</v>
      </c>
      <c r="J349" s="306">
        <f t="shared" ca="1" si="159"/>
        <v>530.93533960093566</v>
      </c>
      <c r="K349" s="307">
        <f t="shared" ca="1" si="160"/>
        <v>1419.3384301806809</v>
      </c>
      <c r="L349" s="304">
        <f t="shared" ca="1" si="145"/>
        <v>1515.392330132669</v>
      </c>
      <c r="M349" s="306">
        <f t="shared" ca="1" si="161"/>
        <v>-1.0933201982946352</v>
      </c>
      <c r="N349" s="304">
        <f t="shared" ca="1" si="162"/>
        <v>-62.642633018688862</v>
      </c>
      <c r="P349" s="310">
        <f t="shared" ca="1" si="163"/>
        <v>23</v>
      </c>
      <c r="Q349" s="304">
        <f t="shared" ca="1" si="164"/>
        <v>0</v>
      </c>
      <c r="R349" s="306">
        <f t="shared" ca="1" si="165"/>
        <v>0</v>
      </c>
      <c r="S349" s="307">
        <f t="shared" ca="1" si="166"/>
        <v>2.9792999999999985</v>
      </c>
      <c r="T349" s="304">
        <f t="shared" ca="1" si="146"/>
        <v>29.226932999999988</v>
      </c>
      <c r="U349" s="311">
        <f t="shared" ca="1" si="147"/>
        <v>0</v>
      </c>
      <c r="V349" s="306">
        <f t="shared" ca="1" si="148"/>
        <v>1.0626523548905273</v>
      </c>
      <c r="W349" s="304">
        <f t="shared" ca="1" si="149"/>
        <v>3.8662162781591372</v>
      </c>
      <c r="Y349" s="314" t="str">
        <f t="shared" ca="1" si="167"/>
        <v/>
      </c>
      <c r="Z349" s="315" t="str">
        <f t="shared" ca="1" si="168"/>
        <v/>
      </c>
      <c r="AA349" s="316" t="str">
        <f t="shared" ca="1" si="169"/>
        <v/>
      </c>
      <c r="AC349" s="310" t="e">
        <f t="shared" ca="1" si="170"/>
        <v>#N/A</v>
      </c>
      <c r="AD349" s="323" t="e">
        <f t="shared" ca="1" si="171"/>
        <v>#N/A</v>
      </c>
      <c r="AE349" s="324" t="e">
        <f t="shared" ca="1" si="150"/>
        <v>#N/A</v>
      </c>
      <c r="AG349" s="306">
        <f t="shared" ca="1" si="172"/>
        <v>7.411234592324476</v>
      </c>
      <c r="AH349" s="304">
        <f t="shared" ca="1" si="173"/>
        <v>-1.2518430911230534</v>
      </c>
    </row>
    <row r="350" spans="1:34" x14ac:dyDescent="0.2">
      <c r="A350" s="347">
        <f t="shared" ca="1" si="151"/>
        <v>0.1</v>
      </c>
      <c r="B350" s="304">
        <f t="shared" ca="1" si="152"/>
        <v>19.799999999999972</v>
      </c>
      <c r="D350" s="306">
        <f t="shared" ca="1" si="153"/>
        <v>-0.59634052963850526</v>
      </c>
      <c r="E350" s="307">
        <f t="shared" ca="1" si="154"/>
        <v>-8.6574442834935557</v>
      </c>
      <c r="F350" s="304">
        <f t="shared" ca="1" si="155"/>
        <v>8.677958489707402</v>
      </c>
      <c r="G350" s="306">
        <f t="shared" ca="1" si="156"/>
        <v>19.310536809066857</v>
      </c>
      <c r="H350" s="307">
        <f t="shared" ca="1" si="157"/>
        <v>-38.302745683778596</v>
      </c>
      <c r="I350" s="304">
        <f t="shared" ca="1" si="158"/>
        <v>42.895188060790055</v>
      </c>
      <c r="J350" s="306">
        <f t="shared" ca="1" si="159"/>
        <v>532.86937498449049</v>
      </c>
      <c r="K350" s="307">
        <f t="shared" ca="1" si="160"/>
        <v>1415.5514428337206</v>
      </c>
      <c r="L350" s="304">
        <f t="shared" ca="1" si="145"/>
        <v>1512.5262503854237</v>
      </c>
      <c r="M350" s="306">
        <f t="shared" ca="1" si="161"/>
        <v>-1.1038299110037453</v>
      </c>
      <c r="N350" s="304">
        <f t="shared" ca="1" si="162"/>
        <v>-63.244795200815872</v>
      </c>
      <c r="P350" s="310">
        <f t="shared" ca="1" si="163"/>
        <v>23</v>
      </c>
      <c r="Q350" s="304">
        <f t="shared" ca="1" si="164"/>
        <v>0</v>
      </c>
      <c r="R350" s="306">
        <f t="shared" ca="1" si="165"/>
        <v>0</v>
      </c>
      <c r="S350" s="307">
        <f t="shared" ca="1" si="166"/>
        <v>2.9792999999999985</v>
      </c>
      <c r="T350" s="304">
        <f t="shared" ca="1" si="146"/>
        <v>29.226932999999988</v>
      </c>
      <c r="U350" s="311">
        <f t="shared" ca="1" si="147"/>
        <v>0</v>
      </c>
      <c r="V350" s="306">
        <f t="shared" ca="1" si="148"/>
        <v>1.0630568885092548</v>
      </c>
      <c r="W350" s="304">
        <f t="shared" ca="1" si="149"/>
        <v>4.0054058504619032</v>
      </c>
      <c r="Y350" s="314" t="str">
        <f t="shared" ca="1" si="167"/>
        <v/>
      </c>
      <c r="Z350" s="315" t="str">
        <f t="shared" ca="1" si="168"/>
        <v/>
      </c>
      <c r="AA350" s="316" t="str">
        <f t="shared" ca="1" si="169"/>
        <v/>
      </c>
      <c r="AC350" s="310" t="e">
        <f t="shared" ca="1" si="170"/>
        <v>#N/A</v>
      </c>
      <c r="AD350" s="323" t="e">
        <f t="shared" ca="1" si="171"/>
        <v>#N/A</v>
      </c>
      <c r="AE350" s="324" t="e">
        <f t="shared" ca="1" si="150"/>
        <v>#N/A</v>
      </c>
      <c r="AG350" s="306">
        <f t="shared" ca="1" si="172"/>
        <v>7.4151329001079862</v>
      </c>
      <c r="AH350" s="304">
        <f t="shared" ca="1" si="173"/>
        <v>-1.2976928399822574</v>
      </c>
    </row>
    <row r="351" spans="1:34" x14ac:dyDescent="0.2">
      <c r="A351" s="347">
        <f t="shared" ca="1" si="151"/>
        <v>0.1</v>
      </c>
      <c r="B351" s="304">
        <f t="shared" ca="1" si="152"/>
        <v>19.899999999999974</v>
      </c>
      <c r="D351" s="306">
        <f t="shared" ca="1" si="153"/>
        <v>-0.6052266760900239</v>
      </c>
      <c r="E351" s="307">
        <f t="shared" ca="1" si="154"/>
        <v>-8.6095236132208264</v>
      </c>
      <c r="F351" s="304">
        <f t="shared" ca="1" si="155"/>
        <v>8.6307703118584946</v>
      </c>
      <c r="G351" s="306">
        <f t="shared" ca="1" si="156"/>
        <v>19.250014141457854</v>
      </c>
      <c r="H351" s="307">
        <f t="shared" ca="1" si="157"/>
        <v>-39.163698045100681</v>
      </c>
      <c r="I351" s="304">
        <f t="shared" ca="1" si="158"/>
        <v>43.638953802928754</v>
      </c>
      <c r="J351" s="306">
        <f t="shared" ca="1" si="159"/>
        <v>534.79740253201669</v>
      </c>
      <c r="K351" s="307">
        <f t="shared" ca="1" si="160"/>
        <v>1411.6781206472765</v>
      </c>
      <c r="L351" s="304">
        <f t="shared" ca="1" si="145"/>
        <v>1509.5838426762584</v>
      </c>
      <c r="M351" s="306">
        <f t="shared" ca="1" si="161"/>
        <v>-1.1139500822401136</v>
      </c>
      <c r="N351" s="304">
        <f t="shared" ca="1" si="162"/>
        <v>-63.824638300609472</v>
      </c>
      <c r="P351" s="310">
        <f t="shared" ca="1" si="163"/>
        <v>23</v>
      </c>
      <c r="Q351" s="304">
        <f t="shared" ca="1" si="164"/>
        <v>0</v>
      </c>
      <c r="R351" s="306">
        <f t="shared" ca="1" si="165"/>
        <v>0</v>
      </c>
      <c r="S351" s="307">
        <f t="shared" ca="1" si="166"/>
        <v>2.9792999999999985</v>
      </c>
      <c r="T351" s="304">
        <f t="shared" ca="1" si="146"/>
        <v>29.226932999999988</v>
      </c>
      <c r="U351" s="311">
        <f t="shared" ca="1" si="147"/>
        <v>0</v>
      </c>
      <c r="V351" s="306">
        <f t="shared" ca="1" si="148"/>
        <v>1.0634707926161711</v>
      </c>
      <c r="W351" s="304">
        <f t="shared" ca="1" si="149"/>
        <v>4.147124723814402</v>
      </c>
      <c r="Y351" s="314" t="str">
        <f t="shared" ca="1" si="167"/>
        <v/>
      </c>
      <c r="Z351" s="315" t="str">
        <f t="shared" ca="1" si="168"/>
        <v/>
      </c>
      <c r="AA351" s="316" t="str">
        <f t="shared" ca="1" si="169"/>
        <v/>
      </c>
      <c r="AC351" s="310" t="e">
        <f t="shared" ca="1" si="170"/>
        <v>#N/A</v>
      </c>
      <c r="AD351" s="323" t="e">
        <f t="shared" ca="1" si="171"/>
        <v>#N/A</v>
      </c>
      <c r="AE351" s="324" t="e">
        <f t="shared" ca="1" si="150"/>
        <v>#N/A</v>
      </c>
      <c r="AG351" s="306">
        <f t="shared" ca="1" si="172"/>
        <v>7.4153105695315098</v>
      </c>
      <c r="AH351" s="304">
        <f t="shared" ca="1" si="173"/>
        <v>-1.3444117243855622</v>
      </c>
    </row>
    <row r="352" spans="1:34" x14ac:dyDescent="0.2">
      <c r="A352" s="347">
        <f t="shared" ca="1" si="151"/>
        <v>0.1</v>
      </c>
      <c r="B352" s="304">
        <f t="shared" ca="1" si="152"/>
        <v>19.999999999999975</v>
      </c>
      <c r="D352" s="306">
        <f t="shared" ca="1" si="153"/>
        <v>-0.61402998956888988</v>
      </c>
      <c r="E352" s="307">
        <f t="shared" ca="1" si="154"/>
        <v>-8.5607705227955151</v>
      </c>
      <c r="F352" s="304">
        <f t="shared" ca="1" si="155"/>
        <v>8.5827632363973887</v>
      </c>
      <c r="G352" s="306">
        <f t="shared" ca="1" si="156"/>
        <v>19.188611142500964</v>
      </c>
      <c r="H352" s="307">
        <f t="shared" ca="1" si="157"/>
        <v>-40.019775097380233</v>
      </c>
      <c r="I352" s="304">
        <f t="shared" ca="1" si="158"/>
        <v>44.382262182351717</v>
      </c>
      <c r="J352" s="306">
        <f t="shared" ca="1" si="159"/>
        <v>536.71933379621464</v>
      </c>
      <c r="K352" s="307">
        <f t="shared" ca="1" si="160"/>
        <v>1407.7189469901525</v>
      </c>
      <c r="L352" s="304">
        <f t="shared" ca="1" si="145"/>
        <v>1506.565722756799</v>
      </c>
      <c r="M352" s="306">
        <f t="shared" ca="1" si="161"/>
        <v>-1.123700498949588</v>
      </c>
      <c r="N352" s="304">
        <f t="shared" ca="1" si="162"/>
        <v>-64.383296026556195</v>
      </c>
      <c r="P352" s="310">
        <f t="shared" ca="1" si="163"/>
        <v>23</v>
      </c>
      <c r="Q352" s="304">
        <f t="shared" ca="1" si="164"/>
        <v>0</v>
      </c>
      <c r="R352" s="306">
        <f t="shared" ca="1" si="165"/>
        <v>0</v>
      </c>
      <c r="S352" s="307">
        <f t="shared" ca="1" si="166"/>
        <v>2.9792999999999985</v>
      </c>
      <c r="T352" s="304">
        <f t="shared" ca="1" si="146"/>
        <v>29.226932999999988</v>
      </c>
      <c r="U352" s="311">
        <f t="shared" ca="1" si="147"/>
        <v>0</v>
      </c>
      <c r="V352" s="306">
        <f t="shared" ca="1" si="148"/>
        <v>1.0638940256238381</v>
      </c>
      <c r="W352" s="304">
        <f t="shared" ca="1" si="149"/>
        <v>4.2913121748121084</v>
      </c>
      <c r="Y352" s="314" t="str">
        <f t="shared" ca="1" si="167"/>
        <v/>
      </c>
      <c r="Z352" s="315" t="str">
        <f t="shared" ca="1" si="168"/>
        <v/>
      </c>
      <c r="AA352" s="316" t="str">
        <f t="shared" ca="1" si="169"/>
        <v/>
      </c>
      <c r="AC352" s="310">
        <f t="shared" ca="1" si="170"/>
        <v>19.999999999999975</v>
      </c>
      <c r="AD352" s="323">
        <f t="shared" ca="1" si="171"/>
        <v>536.71933379621464</v>
      </c>
      <c r="AE352" s="324" t="e">
        <f t="shared" ca="1" si="150"/>
        <v>#N/A</v>
      </c>
      <c r="AG352" s="306">
        <f t="shared" ca="1" si="172"/>
        <v>7.4119867141263613</v>
      </c>
      <c r="AH352" s="304">
        <f t="shared" ca="1" si="173"/>
        <v>-1.3919795669500903</v>
      </c>
    </row>
    <row r="353" spans="1:34" x14ac:dyDescent="0.2">
      <c r="A353" s="347">
        <f t="shared" ca="1" si="151"/>
        <v>0.1</v>
      </c>
      <c r="B353" s="304">
        <f t="shared" ca="1" si="152"/>
        <v>20.099999999999977</v>
      </c>
      <c r="D353" s="306">
        <f t="shared" ca="1" si="153"/>
        <v>-0.62274461312952833</v>
      </c>
      <c r="E353" s="307">
        <f t="shared" ca="1" si="154"/>
        <v>-8.5112035850083654</v>
      </c>
      <c r="F353" s="304">
        <f t="shared" ca="1" si="155"/>
        <v>8.5339555493710595</v>
      </c>
      <c r="G353" s="306">
        <f t="shared" ca="1" si="156"/>
        <v>19.126336681188011</v>
      </c>
      <c r="H353" s="307">
        <f t="shared" ca="1" si="157"/>
        <v>-40.870895455881069</v>
      </c>
      <c r="I353" s="304">
        <f t="shared" ca="1" si="158"/>
        <v>45.124791968581057</v>
      </c>
      <c r="J353" s="306">
        <f t="shared" ca="1" si="159"/>
        <v>538.63508118739912</v>
      </c>
      <c r="K353" s="307">
        <f t="shared" ca="1" si="160"/>
        <v>1403.6744134624894</v>
      </c>
      <c r="L353" s="304">
        <f t="shared" ca="1" si="145"/>
        <v>1503.4725171066545</v>
      </c>
      <c r="M353" s="306">
        <f t="shared" ca="1" si="161"/>
        <v>-1.1330997726617791</v>
      </c>
      <c r="N353" s="304">
        <f t="shared" ca="1" si="162"/>
        <v>-64.921834740752999</v>
      </c>
      <c r="P353" s="310">
        <f t="shared" ca="1" si="163"/>
        <v>23</v>
      </c>
      <c r="Q353" s="304">
        <f t="shared" ca="1" si="164"/>
        <v>0</v>
      </c>
      <c r="R353" s="306">
        <f t="shared" ca="1" si="165"/>
        <v>0</v>
      </c>
      <c r="S353" s="307">
        <f t="shared" ca="1" si="166"/>
        <v>2.9792999999999985</v>
      </c>
      <c r="T353" s="304">
        <f t="shared" ca="1" si="146"/>
        <v>29.226932999999988</v>
      </c>
      <c r="U353" s="311">
        <f t="shared" ca="1" si="147"/>
        <v>0</v>
      </c>
      <c r="V353" s="306">
        <f t="shared" ca="1" si="148"/>
        <v>1.0643265452206641</v>
      </c>
      <c r="W353" s="304">
        <f t="shared" ca="1" si="149"/>
        <v>4.437906917427938</v>
      </c>
      <c r="Y353" s="314" t="str">
        <f t="shared" ca="1" si="167"/>
        <v/>
      </c>
      <c r="Z353" s="315" t="str">
        <f t="shared" ca="1" si="168"/>
        <v/>
      </c>
      <c r="AA353" s="316" t="str">
        <f t="shared" ca="1" si="169"/>
        <v/>
      </c>
      <c r="AC353" s="310" t="e">
        <f t="shared" ca="1" si="170"/>
        <v>#N/A</v>
      </c>
      <c r="AD353" s="323" t="e">
        <f t="shared" ca="1" si="171"/>
        <v>#N/A</v>
      </c>
      <c r="AE353" s="324" t="e">
        <f t="shared" ca="1" si="150"/>
        <v>#N/A</v>
      </c>
      <c r="AG353" s="306">
        <f t="shared" ca="1" si="172"/>
        <v>7.4053649565504447</v>
      </c>
      <c r="AH353" s="304">
        <f t="shared" ca="1" si="173"/>
        <v>-1.4403759859067937</v>
      </c>
    </row>
    <row r="354" spans="1:34" x14ac:dyDescent="0.2">
      <c r="A354" s="347">
        <f t="shared" ca="1" si="151"/>
        <v>0.1</v>
      </c>
      <c r="B354" s="304">
        <f t="shared" ca="1" si="152"/>
        <v>20.199999999999978</v>
      </c>
      <c r="D354" s="306">
        <f t="shared" ca="1" si="153"/>
        <v>-0.63136504800935855</v>
      </c>
      <c r="E354" s="307">
        <f t="shared" ca="1" si="154"/>
        <v>-8.4608417528240967</v>
      </c>
      <c r="F354" s="304">
        <f t="shared" ca="1" si="155"/>
        <v>8.4843659156226519</v>
      </c>
      <c r="G354" s="306">
        <f t="shared" ca="1" si="156"/>
        <v>19.063200176387074</v>
      </c>
      <c r="H354" s="307">
        <f t="shared" ca="1" si="157"/>
        <v>-41.716979631163476</v>
      </c>
      <c r="I354" s="304">
        <f t="shared" ca="1" si="158"/>
        <v>45.86624020466374</v>
      </c>
      <c r="J354" s="306">
        <f t="shared" ca="1" si="159"/>
        <v>540.54455803027793</v>
      </c>
      <c r="K354" s="307">
        <f t="shared" ca="1" si="160"/>
        <v>1399.5450197081373</v>
      </c>
      <c r="L354" s="304">
        <f t="shared" ca="1" si="145"/>
        <v>1500.3048628215529</v>
      </c>
      <c r="M354" s="306">
        <f t="shared" ca="1" si="161"/>
        <v>-1.1421654111927211</v>
      </c>
      <c r="N354" s="304">
        <f t="shared" ca="1" si="162"/>
        <v>-65.441257567167156</v>
      </c>
      <c r="P354" s="310">
        <f t="shared" ca="1" si="163"/>
        <v>23</v>
      </c>
      <c r="Q354" s="304">
        <f t="shared" ca="1" si="164"/>
        <v>0</v>
      </c>
      <c r="R354" s="306">
        <f t="shared" ca="1" si="165"/>
        <v>0</v>
      </c>
      <c r="S354" s="307">
        <f t="shared" ca="1" si="166"/>
        <v>2.9792999999999985</v>
      </c>
      <c r="T354" s="304">
        <f t="shared" ca="1" si="146"/>
        <v>29.226932999999988</v>
      </c>
      <c r="U354" s="311">
        <f t="shared" ca="1" si="147"/>
        <v>0</v>
      </c>
      <c r="V354" s="306">
        <f t="shared" ca="1" si="148"/>
        <v>1.0647683083856658</v>
      </c>
      <c r="W354" s="304">
        <f t="shared" ca="1" si="149"/>
        <v>4.5868471495911232</v>
      </c>
      <c r="Y354" s="314" t="str">
        <f t="shared" ca="1" si="167"/>
        <v/>
      </c>
      <c r="Z354" s="315" t="str">
        <f t="shared" ca="1" si="168"/>
        <v/>
      </c>
      <c r="AA354" s="316" t="str">
        <f t="shared" ca="1" si="169"/>
        <v/>
      </c>
      <c r="AC354" s="310" t="e">
        <f t="shared" ca="1" si="170"/>
        <v>#N/A</v>
      </c>
      <c r="AD354" s="323" t="e">
        <f t="shared" ca="1" si="171"/>
        <v>#N/A</v>
      </c>
      <c r="AE354" s="324" t="e">
        <f t="shared" ca="1" si="150"/>
        <v>#N/A</v>
      </c>
      <c r="AG354" s="306">
        <f t="shared" ca="1" si="172"/>
        <v>7.3956347212376912</v>
      </c>
      <c r="AH354" s="304">
        <f t="shared" ca="1" si="173"/>
        <v>-1.4895804106427484</v>
      </c>
    </row>
    <row r="355" spans="1:34" x14ac:dyDescent="0.2">
      <c r="A355" s="347">
        <f t="shared" ca="1" si="151"/>
        <v>0.1</v>
      </c>
      <c r="B355" s="304">
        <f t="shared" ca="1" si="152"/>
        <v>20.299999999999979</v>
      </c>
      <c r="D355" s="306">
        <f t="shared" ca="1" si="153"/>
        <v>-0.63988613294924213</v>
      </c>
      <c r="E355" s="307">
        <f t="shared" ca="1" si="154"/>
        <v>-8.4097043241683753</v>
      </c>
      <c r="F355" s="304">
        <f t="shared" ca="1" si="155"/>
        <v>8.4340133437810607</v>
      </c>
      <c r="G355" s="306">
        <f t="shared" ca="1" si="156"/>
        <v>18.99921156309215</v>
      </c>
      <c r="H355" s="307">
        <f t="shared" ca="1" si="157"/>
        <v>-42.557950063580314</v>
      </c>
      <c r="I355" s="304">
        <f t="shared" ca="1" si="158"/>
        <v>46.606320962218525</v>
      </c>
      <c r="J355" s="306">
        <f t="shared" ca="1" si="159"/>
        <v>542.44767861725188</v>
      </c>
      <c r="K355" s="307">
        <f t="shared" ca="1" si="160"/>
        <v>1395.3312732234001</v>
      </c>
      <c r="L355" s="304">
        <f t="shared" ca="1" si="145"/>
        <v>1497.0634074989878</v>
      </c>
      <c r="M355" s="306">
        <f t="shared" ca="1" si="161"/>
        <v>-1.1509138869497944</v>
      </c>
      <c r="N355" s="304">
        <f t="shared" ca="1" si="162"/>
        <v>-65.942508305219974</v>
      </c>
      <c r="P355" s="310">
        <f t="shared" ca="1" si="163"/>
        <v>23</v>
      </c>
      <c r="Q355" s="304">
        <f t="shared" ca="1" si="164"/>
        <v>0</v>
      </c>
      <c r="R355" s="306">
        <f t="shared" ca="1" si="165"/>
        <v>0</v>
      </c>
      <c r="S355" s="307">
        <f t="shared" ca="1" si="166"/>
        <v>2.9792999999999985</v>
      </c>
      <c r="T355" s="304">
        <f t="shared" ca="1" si="146"/>
        <v>29.226932999999988</v>
      </c>
      <c r="U355" s="311">
        <f t="shared" ca="1" si="147"/>
        <v>0</v>
      </c>
      <c r="V355" s="306">
        <f t="shared" ca="1" si="148"/>
        <v>1.0652192714035835</v>
      </c>
      <c r="W355" s="304">
        <f t="shared" ca="1" si="149"/>
        <v>4.7380705999433799</v>
      </c>
      <c r="Y355" s="314" t="str">
        <f t="shared" ca="1" si="167"/>
        <v/>
      </c>
      <c r="Z355" s="315" t="str">
        <f t="shared" ca="1" si="168"/>
        <v/>
      </c>
      <c r="AA355" s="316" t="str">
        <f t="shared" ca="1" si="169"/>
        <v/>
      </c>
      <c r="AC355" s="310" t="e">
        <f t="shared" ca="1" si="170"/>
        <v>#N/A</v>
      </c>
      <c r="AD355" s="323" t="e">
        <f t="shared" ca="1" si="171"/>
        <v>#N/A</v>
      </c>
      <c r="AE355" s="324" t="e">
        <f t="shared" ca="1" si="150"/>
        <v>#N/A</v>
      </c>
      <c r="AG355" s="306">
        <f t="shared" ca="1" si="172"/>
        <v>7.3829724224594635</v>
      </c>
      <c r="AH355" s="304">
        <f t="shared" ca="1" si="173"/>
        <v>-1.5395720973353222</v>
      </c>
    </row>
    <row r="356" spans="1:34" x14ac:dyDescent="0.2">
      <c r="A356" s="347">
        <f t="shared" ca="1" si="151"/>
        <v>0.1</v>
      </c>
      <c r="B356" s="304">
        <f t="shared" ca="1" si="152"/>
        <v>20.399999999999981</v>
      </c>
      <c r="D356" s="306">
        <f t="shared" ca="1" si="153"/>
        <v>-0.64830302520087968</v>
      </c>
      <c r="E356" s="307">
        <f t="shared" ca="1" si="154"/>
        <v>-8.357810908839804</v>
      </c>
      <c r="F356" s="304">
        <f t="shared" ca="1" si="155"/>
        <v>8.3829171533784255</v>
      </c>
      <c r="G356" s="306">
        <f t="shared" ca="1" si="156"/>
        <v>18.93438126057206</v>
      </c>
      <c r="H356" s="307">
        <f t="shared" ca="1" si="157"/>
        <v>-43.393731154464298</v>
      </c>
      <c r="I356" s="304">
        <f t="shared" ca="1" si="158"/>
        <v>47.344764200771223</v>
      </c>
      <c r="J356" s="306">
        <f t="shared" ca="1" si="159"/>
        <v>544.34435825843514</v>
      </c>
      <c r="K356" s="307">
        <f t="shared" ca="1" si="160"/>
        <v>1391.0336891624979</v>
      </c>
      <c r="L356" s="304">
        <f t="shared" ca="1" si="145"/>
        <v>1493.748809121807</v>
      </c>
      <c r="M356" s="306">
        <f t="shared" ca="1" si="161"/>
        <v>-1.1593607017263912</v>
      </c>
      <c r="N356" s="304">
        <f t="shared" ca="1" si="162"/>
        <v>-66.42647514224771</v>
      </c>
      <c r="P356" s="310">
        <f t="shared" ca="1" si="163"/>
        <v>23</v>
      </c>
      <c r="Q356" s="304">
        <f t="shared" ca="1" si="164"/>
        <v>0</v>
      </c>
      <c r="R356" s="306">
        <f t="shared" ca="1" si="165"/>
        <v>0</v>
      </c>
      <c r="S356" s="307">
        <f t="shared" ca="1" si="166"/>
        <v>2.9792999999999985</v>
      </c>
      <c r="T356" s="304">
        <f t="shared" ca="1" si="146"/>
        <v>29.226932999999988</v>
      </c>
      <c r="U356" s="311">
        <f t="shared" ca="1" si="147"/>
        <v>0</v>
      </c>
      <c r="V356" s="306">
        <f t="shared" ca="1" si="148"/>
        <v>1.0656793898803143</v>
      </c>
      <c r="W356" s="304">
        <f t="shared" ca="1" si="149"/>
        <v>4.8915145746810067</v>
      </c>
      <c r="Y356" s="314" t="str">
        <f t="shared" ca="1" si="167"/>
        <v/>
      </c>
      <c r="Z356" s="315" t="str">
        <f t="shared" ca="1" si="168"/>
        <v/>
      </c>
      <c r="AA356" s="316" t="str">
        <f t="shared" ca="1" si="169"/>
        <v/>
      </c>
      <c r="AC356" s="310" t="e">
        <f t="shared" ca="1" si="170"/>
        <v>#N/A</v>
      </c>
      <c r="AD356" s="323" t="e">
        <f t="shared" ca="1" si="171"/>
        <v>#N/A</v>
      </c>
      <c r="AE356" s="324" t="e">
        <f t="shared" ca="1" si="150"/>
        <v>#N/A</v>
      </c>
      <c r="AG356" s="306">
        <f t="shared" ca="1" si="172"/>
        <v>7.3675425538270574</v>
      </c>
      <c r="AH356" s="304">
        <f t="shared" ca="1" si="173"/>
        <v>-1.5903301446458504</v>
      </c>
    </row>
    <row r="357" spans="1:34" x14ac:dyDescent="0.2">
      <c r="A357" s="347">
        <f t="shared" ca="1" si="151"/>
        <v>0.1</v>
      </c>
      <c r="B357" s="304">
        <f t="shared" ca="1" si="152"/>
        <v>20.499999999999982</v>
      </c>
      <c r="D357" s="306">
        <f t="shared" ca="1" si="153"/>
        <v>-0.65661118307258115</v>
      </c>
      <c r="E357" s="307">
        <f t="shared" ca="1" si="154"/>
        <v>-8.3051813973135626</v>
      </c>
      <c r="F357" s="304">
        <f t="shared" ca="1" si="155"/>
        <v>8.3310969438615494</v>
      </c>
      <c r="G357" s="306">
        <f t="shared" ca="1" si="156"/>
        <v>18.868720142264802</v>
      </c>
      <c r="H357" s="307">
        <f t="shared" ca="1" si="157"/>
        <v>-44.224249294195651</v>
      </c>
      <c r="I357" s="304">
        <f t="shared" ca="1" si="158"/>
        <v>48.081314722481061</v>
      </c>
      <c r="J357" s="306">
        <f t="shared" ca="1" si="159"/>
        <v>546.23451332857701</v>
      </c>
      <c r="K357" s="307">
        <f t="shared" ca="1" si="160"/>
        <v>1386.652790140065</v>
      </c>
      <c r="L357" s="304">
        <f t="shared" ca="1" si="145"/>
        <v>1490.3617359401489</v>
      </c>
      <c r="M357" s="306">
        <f t="shared" ca="1" si="161"/>
        <v>-1.1675204479544457</v>
      </c>
      <c r="N357" s="304">
        <f t="shared" ca="1" si="162"/>
        <v>-66.893994163013019</v>
      </c>
      <c r="P357" s="310">
        <f t="shared" ca="1" si="163"/>
        <v>23</v>
      </c>
      <c r="Q357" s="304">
        <f t="shared" ca="1" si="164"/>
        <v>0</v>
      </c>
      <c r="R357" s="306">
        <f t="shared" ca="1" si="165"/>
        <v>0</v>
      </c>
      <c r="S357" s="307">
        <f t="shared" ca="1" si="166"/>
        <v>2.9792999999999985</v>
      </c>
      <c r="T357" s="304">
        <f t="shared" ca="1" si="146"/>
        <v>29.226932999999988</v>
      </c>
      <c r="U357" s="311">
        <f t="shared" ca="1" si="147"/>
        <v>0</v>
      </c>
      <c r="V357" s="306">
        <f t="shared" ca="1" si="148"/>
        <v>1.0661486187586389</v>
      </c>
      <c r="W357" s="304">
        <f t="shared" ca="1" si="149"/>
        <v>5.0471160043960595</v>
      </c>
      <c r="Y357" s="314" t="str">
        <f t="shared" ca="1" si="167"/>
        <v/>
      </c>
      <c r="Z357" s="315" t="str">
        <f t="shared" ca="1" si="168"/>
        <v/>
      </c>
      <c r="AA357" s="316" t="str">
        <f t="shared" ca="1" si="169"/>
        <v/>
      </c>
      <c r="AC357" s="310" t="e">
        <f t="shared" ca="1" si="170"/>
        <v>#N/A</v>
      </c>
      <c r="AD357" s="323" t="e">
        <f t="shared" ca="1" si="171"/>
        <v>#N/A</v>
      </c>
      <c r="AE357" s="324" t="e">
        <f t="shared" ca="1" si="150"/>
        <v>#N/A</v>
      </c>
      <c r="AG357" s="306">
        <f t="shared" ca="1" si="172"/>
        <v>7.3494986856046758</v>
      </c>
      <c r="AH357" s="304">
        <f t="shared" ca="1" si="173"/>
        <v>-1.6418335094421539</v>
      </c>
    </row>
    <row r="358" spans="1:34" x14ac:dyDescent="0.2">
      <c r="A358" s="347">
        <f t="shared" ca="1" si="151"/>
        <v>0.1</v>
      </c>
      <c r="B358" s="304">
        <f t="shared" ca="1" si="152"/>
        <v>20.599999999999984</v>
      </c>
      <c r="D358" s="306">
        <f t="shared" ca="1" si="153"/>
        <v>-0.66480634987539899</v>
      </c>
      <c r="E358" s="307">
        <f t="shared" ca="1" si="154"/>
        <v>-8.2518359312352931</v>
      </c>
      <c r="F358" s="304">
        <f t="shared" ca="1" si="155"/>
        <v>8.2785725652953293</v>
      </c>
      <c r="G358" s="306">
        <f t="shared" ca="1" si="156"/>
        <v>18.802239507277264</v>
      </c>
      <c r="H358" s="307">
        <f t="shared" ca="1" si="157"/>
        <v>-45.049432887319178</v>
      </c>
      <c r="I358" s="304">
        <f t="shared" ca="1" si="158"/>
        <v>48.815731214006135</v>
      </c>
      <c r="J358" s="306">
        <f t="shared" ca="1" si="159"/>
        <v>548.11806131105413</v>
      </c>
      <c r="K358" s="307">
        <f t="shared" ca="1" si="160"/>
        <v>1382.1891060309893</v>
      </c>
      <c r="L358" s="304">
        <f t="shared" ca="1" si="145"/>
        <v>1486.9028663521144</v>
      </c>
      <c r="M358" s="306">
        <f t="shared" ca="1" si="161"/>
        <v>-1.1754068664437083</v>
      </c>
      <c r="N358" s="304">
        <f t="shared" ca="1" si="162"/>
        <v>-67.345852657921711</v>
      </c>
      <c r="P358" s="310">
        <f t="shared" ca="1" si="163"/>
        <v>23</v>
      </c>
      <c r="Q358" s="304">
        <f t="shared" ca="1" si="164"/>
        <v>0</v>
      </c>
      <c r="R358" s="306">
        <f t="shared" ca="1" si="165"/>
        <v>0</v>
      </c>
      <c r="S358" s="307">
        <f t="shared" ca="1" si="166"/>
        <v>2.9792999999999985</v>
      </c>
      <c r="T358" s="304">
        <f t="shared" ca="1" si="146"/>
        <v>29.226932999999988</v>
      </c>
      <c r="U358" s="311">
        <f t="shared" ca="1" si="147"/>
        <v>0</v>
      </c>
      <c r="V358" s="306">
        <f t="shared" ca="1" si="148"/>
        <v>1.0666269123342109</v>
      </c>
      <c r="W358" s="304">
        <f t="shared" ca="1" si="149"/>
        <v>5.204811490834139</v>
      </c>
      <c r="Y358" s="314" t="str">
        <f t="shared" ca="1" si="167"/>
        <v/>
      </c>
      <c r="Z358" s="315" t="str">
        <f t="shared" ca="1" si="168"/>
        <v/>
      </c>
      <c r="AA358" s="316" t="str">
        <f t="shared" ca="1" si="169"/>
        <v/>
      </c>
      <c r="AC358" s="310" t="e">
        <f t="shared" ca="1" si="170"/>
        <v>#N/A</v>
      </c>
      <c r="AD358" s="323" t="e">
        <f t="shared" ca="1" si="171"/>
        <v>#N/A</v>
      </c>
      <c r="AE358" s="324" t="e">
        <f t="shared" ca="1" si="150"/>
        <v>#N/A</v>
      </c>
      <c r="AG358" s="306">
        <f t="shared" ca="1" si="172"/>
        <v>7.3289843763025875</v>
      </c>
      <c r="AH358" s="304">
        <f t="shared" ca="1" si="173"/>
        <v>-1.6940610225207471</v>
      </c>
    </row>
    <row r="359" spans="1:34" x14ac:dyDescent="0.2">
      <c r="A359" s="347">
        <f t="shared" ca="1" si="151"/>
        <v>0.1</v>
      </c>
      <c r="B359" s="304">
        <f t="shared" ca="1" si="152"/>
        <v>20.699999999999985</v>
      </c>
      <c r="D359" s="306">
        <f t="shared" ca="1" si="153"/>
        <v>-0.67288453914214097</v>
      </c>
      <c r="E359" s="307">
        <f t="shared" ca="1" si="154"/>
        <v>-8.1977948754314021</v>
      </c>
      <c r="F359" s="304">
        <f t="shared" ca="1" si="155"/>
        <v>8.2253640905838257</v>
      </c>
      <c r="G359" s="306">
        <f t="shared" ca="1" si="156"/>
        <v>18.734951053363051</v>
      </c>
      <c r="H359" s="307">
        <f t="shared" ca="1" si="157"/>
        <v>-45.869212374862315</v>
      </c>
      <c r="I359" s="304">
        <f t="shared" ca="1" si="158"/>
        <v>49.547785367886341</v>
      </c>
      <c r="J359" s="306">
        <f t="shared" ca="1" si="159"/>
        <v>549.99492083908615</v>
      </c>
      <c r="K359" s="307">
        <f t="shared" ca="1" si="160"/>
        <v>1377.6431737678802</v>
      </c>
      <c r="L359" s="304">
        <f t="shared" ca="1" si="145"/>
        <v>1483.3728887835421</v>
      </c>
      <c r="M359" s="306">
        <f t="shared" ca="1" si="161"/>
        <v>-1.1830329006815903</v>
      </c>
      <c r="N359" s="304">
        <f t="shared" ca="1" si="162"/>
        <v>-67.782792234174622</v>
      </c>
      <c r="P359" s="310">
        <f t="shared" ca="1" si="163"/>
        <v>23</v>
      </c>
      <c r="Q359" s="304">
        <f t="shared" ca="1" si="164"/>
        <v>0</v>
      </c>
      <c r="R359" s="306">
        <f t="shared" ca="1" si="165"/>
        <v>0</v>
      </c>
      <c r="S359" s="307">
        <f t="shared" ca="1" si="166"/>
        <v>2.9792999999999985</v>
      </c>
      <c r="T359" s="304">
        <f t="shared" ca="1" si="146"/>
        <v>29.226932999999988</v>
      </c>
      <c r="U359" s="311">
        <f t="shared" ca="1" si="147"/>
        <v>0</v>
      </c>
      <c r="V359" s="306">
        <f t="shared" ca="1" si="148"/>
        <v>1.0671142242717859</v>
      </c>
      <c r="W359" s="304">
        <f t="shared" ca="1" si="149"/>
        <v>5.3645373534902774</v>
      </c>
      <c r="Y359" s="314" t="str">
        <f t="shared" ca="1" si="167"/>
        <v/>
      </c>
      <c r="Z359" s="315" t="str">
        <f t="shared" ca="1" si="168"/>
        <v/>
      </c>
      <c r="AA359" s="316" t="str">
        <f t="shared" ca="1" si="169"/>
        <v/>
      </c>
      <c r="AC359" s="310" t="e">
        <f t="shared" ca="1" si="170"/>
        <v>#N/A</v>
      </c>
      <c r="AD359" s="323" t="e">
        <f t="shared" ca="1" si="171"/>
        <v>#N/A</v>
      </c>
      <c r="AE359" s="324" t="e">
        <f t="shared" ca="1" si="150"/>
        <v>#N/A</v>
      </c>
      <c r="AG359" s="306">
        <f t="shared" ca="1" si="172"/>
        <v>7.3061340049482038</v>
      </c>
      <c r="AH359" s="304">
        <f t="shared" ca="1" si="173"/>
        <v>-1.7469914043010579</v>
      </c>
    </row>
    <row r="360" spans="1:34" x14ac:dyDescent="0.2">
      <c r="A360" s="347">
        <f t="shared" ca="1" si="151"/>
        <v>0.1</v>
      </c>
      <c r="B360" s="304">
        <f t="shared" ca="1" si="152"/>
        <v>20.799999999999986</v>
      </c>
      <c r="D360" s="306">
        <f t="shared" ca="1" si="153"/>
        <v>-0.68084202100194657</v>
      </c>
      <c r="E360" s="307">
        <f t="shared" ca="1" si="154"/>
        <v>-8.1430787912860438</v>
      </c>
      <c r="F360" s="304">
        <f t="shared" ca="1" si="155"/>
        <v>8.1714917890587504</v>
      </c>
      <c r="G360" s="306">
        <f t="shared" ca="1" si="156"/>
        <v>18.666866851262856</v>
      </c>
      <c r="H360" s="307">
        <f t="shared" ca="1" si="157"/>
        <v>-46.68352025399092</v>
      </c>
      <c r="I360" s="304">
        <f t="shared" ca="1" si="158"/>
        <v>50.277261076430527</v>
      </c>
      <c r="J360" s="306">
        <f t="shared" ca="1" si="159"/>
        <v>551.86501173431748</v>
      </c>
      <c r="K360" s="307">
        <f t="shared" ca="1" si="160"/>
        <v>1373.0155371364376</v>
      </c>
      <c r="L360" s="304">
        <f t="shared" ca="1" si="145"/>
        <v>1479.7725015672438</v>
      </c>
      <c r="M360" s="306">
        <f t="shared" ca="1" si="161"/>
        <v>-1.190410747799785</v>
      </c>
      <c r="N360" s="304">
        <f t="shared" ca="1" si="162"/>
        <v>-68.205511735939922</v>
      </c>
      <c r="P360" s="310">
        <f t="shared" ca="1" si="163"/>
        <v>23</v>
      </c>
      <c r="Q360" s="304">
        <f t="shared" ca="1" si="164"/>
        <v>0</v>
      </c>
      <c r="R360" s="306">
        <f t="shared" ca="1" si="165"/>
        <v>0</v>
      </c>
      <c r="S360" s="307">
        <f t="shared" ca="1" si="166"/>
        <v>2.9792999999999985</v>
      </c>
      <c r="T360" s="304">
        <f t="shared" ca="1" si="146"/>
        <v>29.226932999999988</v>
      </c>
      <c r="U360" s="311">
        <f t="shared" ca="1" si="147"/>
        <v>0</v>
      </c>
      <c r="V360" s="306">
        <f t="shared" ca="1" si="148"/>
        <v>1.0676105076216602</v>
      </c>
      <c r="W360" s="304">
        <f t="shared" ca="1" si="149"/>
        <v>5.5262296759683363</v>
      </c>
      <c r="Y360" s="314" t="str">
        <f t="shared" ca="1" si="167"/>
        <v/>
      </c>
      <c r="Z360" s="315" t="str">
        <f t="shared" ca="1" si="168"/>
        <v/>
      </c>
      <c r="AA360" s="316" t="str">
        <f t="shared" ca="1" si="169"/>
        <v/>
      </c>
      <c r="AC360" s="310" t="e">
        <f t="shared" ca="1" si="170"/>
        <v>#N/A</v>
      </c>
      <c r="AD360" s="323" t="e">
        <f t="shared" ca="1" si="171"/>
        <v>#N/A</v>
      </c>
      <c r="AE360" s="324" t="e">
        <f t="shared" ca="1" si="150"/>
        <v>#N/A</v>
      </c>
      <c r="AG360" s="306">
        <f t="shared" ca="1" si="172"/>
        <v>7.2810735302412608</v>
      </c>
      <c r="AH360" s="304">
        <f t="shared" ca="1" si="173"/>
        <v>-1.800603280465304</v>
      </c>
    </row>
    <row r="361" spans="1:34" x14ac:dyDescent="0.2">
      <c r="A361" s="347">
        <f t="shared" ca="1" si="151"/>
        <v>0.1</v>
      </c>
      <c r="B361" s="304">
        <f t="shared" ca="1" si="152"/>
        <v>20.899999999999988</v>
      </c>
      <c r="D361" s="306">
        <f t="shared" ca="1" si="153"/>
        <v>-0.68867530960290646</v>
      </c>
      <c r="E361" s="307">
        <f t="shared" ca="1" si="154"/>
        <v>-8.0877084113558269</v>
      </c>
      <c r="F361" s="304">
        <f t="shared" ca="1" si="155"/>
        <v>8.1169761013059816</v>
      </c>
      <c r="G361" s="306">
        <f t="shared" ca="1" si="156"/>
        <v>18.597999320302566</v>
      </c>
      <c r="H361" s="307">
        <f t="shared" ca="1" si="157"/>
        <v>-47.492291095126504</v>
      </c>
      <c r="I361" s="304">
        <f t="shared" ca="1" si="158"/>
        <v>51.003953691671853</v>
      </c>
      <c r="J361" s="306">
        <f t="shared" ca="1" si="159"/>
        <v>553.72825504289574</v>
      </c>
      <c r="K361" s="307">
        <f t="shared" ca="1" si="160"/>
        <v>1368.3067465689817</v>
      </c>
      <c r="L361" s="304">
        <f t="shared" ca="1" si="145"/>
        <v>1476.1024128220376</v>
      </c>
      <c r="M361" s="306">
        <f t="shared" ca="1" si="161"/>
        <v>-1.1975519063363933</v>
      </c>
      <c r="N361" s="304">
        <f t="shared" ca="1" si="162"/>
        <v>-68.614669980921406</v>
      </c>
      <c r="P361" s="310">
        <f t="shared" ca="1" si="163"/>
        <v>23</v>
      </c>
      <c r="Q361" s="304">
        <f t="shared" ca="1" si="164"/>
        <v>0</v>
      </c>
      <c r="R361" s="306">
        <f t="shared" ca="1" si="165"/>
        <v>0</v>
      </c>
      <c r="S361" s="307">
        <f t="shared" ca="1" si="166"/>
        <v>2.9792999999999985</v>
      </c>
      <c r="T361" s="304">
        <f t="shared" ca="1" si="146"/>
        <v>29.226932999999988</v>
      </c>
      <c r="U361" s="311">
        <f t="shared" ca="1" si="147"/>
        <v>0</v>
      </c>
      <c r="V361" s="306">
        <f t="shared" ca="1" si="148"/>
        <v>1.0681157148363065</v>
      </c>
      <c r="W361" s="304">
        <f t="shared" ca="1" si="149"/>
        <v>5.689824352032975</v>
      </c>
      <c r="Y361" s="314" t="str">
        <f t="shared" ca="1" si="167"/>
        <v/>
      </c>
      <c r="Z361" s="315" t="str">
        <f t="shared" ca="1" si="168"/>
        <v/>
      </c>
      <c r="AA361" s="316" t="str">
        <f t="shared" ca="1" si="169"/>
        <v/>
      </c>
      <c r="AC361" s="310" t="e">
        <f t="shared" ca="1" si="170"/>
        <v>#N/A</v>
      </c>
      <c r="AD361" s="323" t="e">
        <f t="shared" ca="1" si="171"/>
        <v>#N/A</v>
      </c>
      <c r="AE361" s="324" t="e">
        <f t="shared" ca="1" si="150"/>
        <v>#N/A</v>
      </c>
      <c r="AG361" s="306">
        <f t="shared" ca="1" si="172"/>
        <v>7.2539211825276597</v>
      </c>
      <c r="AH361" s="304">
        <f t="shared" ca="1" si="173"/>
        <v>-1.8548751975189941</v>
      </c>
    </row>
    <row r="362" spans="1:34" x14ac:dyDescent="0.2">
      <c r="A362" s="347">
        <f t="shared" ca="1" si="151"/>
        <v>0.1</v>
      </c>
      <c r="B362" s="304">
        <f t="shared" ca="1" si="152"/>
        <v>20.999999999999989</v>
      </c>
      <c r="D362" s="306">
        <f t="shared" ca="1" si="153"/>
        <v>-0.69638115148441748</v>
      </c>
      <c r="E362" s="307">
        <f t="shared" ca="1" si="154"/>
        <v>-8.0317046151112947</v>
      </c>
      <c r="F362" s="304">
        <f t="shared" ca="1" si="155"/>
        <v>8.0618376151187032</v>
      </c>
      <c r="G362" s="306">
        <f t="shared" ca="1" si="156"/>
        <v>18.528361205154123</v>
      </c>
      <c r="H362" s="307">
        <f t="shared" ca="1" si="157"/>
        <v>-48.295461556637633</v>
      </c>
      <c r="I362" s="304">
        <f t="shared" ca="1" si="158"/>
        <v>51.72766934549945</v>
      </c>
      <c r="J362" s="306">
        <f t="shared" ca="1" si="159"/>
        <v>555.58457306916853</v>
      </c>
      <c r="K362" s="307">
        <f t="shared" ca="1" si="160"/>
        <v>1363.5173589363935</v>
      </c>
      <c r="L362" s="304">
        <f t="shared" ca="1" si="145"/>
        <v>1472.3633403319061</v>
      </c>
      <c r="M362" s="306">
        <f t="shared" ca="1" si="161"/>
        <v>-1.2044672209370579</v>
      </c>
      <c r="N362" s="304">
        <f t="shared" ca="1" si="162"/>
        <v>-69.010888321544684</v>
      </c>
      <c r="P362" s="310">
        <f t="shared" ca="1" si="163"/>
        <v>23</v>
      </c>
      <c r="Q362" s="304">
        <f t="shared" ca="1" si="164"/>
        <v>0</v>
      </c>
      <c r="R362" s="306">
        <f t="shared" ca="1" si="165"/>
        <v>0</v>
      </c>
      <c r="S362" s="307">
        <f t="shared" ca="1" si="166"/>
        <v>2.9792999999999985</v>
      </c>
      <c r="T362" s="304">
        <f t="shared" ca="1" si="146"/>
        <v>29.226932999999988</v>
      </c>
      <c r="U362" s="311">
        <f t="shared" ca="1" si="147"/>
        <v>0</v>
      </c>
      <c r="V362" s="306">
        <f t="shared" ca="1" si="148"/>
        <v>1.068629797787171</v>
      </c>
      <c r="W362" s="304">
        <f t="shared" ca="1" si="149"/>
        <v>5.8552571312866055</v>
      </c>
      <c r="Y362" s="314" t="str">
        <f t="shared" ca="1" si="167"/>
        <v/>
      </c>
      <c r="Z362" s="315" t="str">
        <f t="shared" ca="1" si="168"/>
        <v/>
      </c>
      <c r="AA362" s="316" t="str">
        <f t="shared" ca="1" si="169"/>
        <v/>
      </c>
      <c r="AC362" s="310">
        <f t="shared" ca="1" si="170"/>
        <v>20.999999999999989</v>
      </c>
      <c r="AD362" s="323">
        <f t="shared" ca="1" si="171"/>
        <v>555.58457306916853</v>
      </c>
      <c r="AE362" s="324" t="e">
        <f t="shared" ca="1" si="150"/>
        <v>#N/A</v>
      </c>
      <c r="AG362" s="306">
        <f t="shared" ca="1" si="172"/>
        <v>7.224788094204686</v>
      </c>
      <c r="AH362" s="304">
        <f t="shared" ca="1" si="173"/>
        <v>-1.9097856382482388</v>
      </c>
    </row>
    <row r="363" spans="1:34" x14ac:dyDescent="0.2">
      <c r="A363" s="347">
        <f t="shared" ca="1" si="151"/>
        <v>0.1</v>
      </c>
      <c r="B363" s="304">
        <f t="shared" ca="1" si="152"/>
        <v>21.099999999999991</v>
      </c>
      <c r="D363" s="306">
        <f t="shared" ca="1" si="153"/>
        <v>-0.70395651480963317</v>
      </c>
      <c r="E363" s="307">
        <f t="shared" ca="1" si="154"/>
        <v>-7.9750884057098439</v>
      </c>
      <c r="F363" s="304">
        <f t="shared" ca="1" si="155"/>
        <v>8.0060970424814677</v>
      </c>
      <c r="G363" s="306">
        <f t="shared" ca="1" si="156"/>
        <v>18.457965553673159</v>
      </c>
      <c r="H363" s="307">
        <f t="shared" ca="1" si="157"/>
        <v>-49.092970397208617</v>
      </c>
      <c r="I363" s="304">
        <f t="shared" ca="1" si="158"/>
        <v>52.448224324583059</v>
      </c>
      <c r="J363" s="306">
        <f t="shared" ca="1" si="159"/>
        <v>557.43388940710986</v>
      </c>
      <c r="K363" s="307">
        <f t="shared" ca="1" si="160"/>
        <v>1358.6479373387012</v>
      </c>
      <c r="L363" s="304">
        <f t="shared" ca="1" si="145"/>
        <v>1468.5560114255927</v>
      </c>
      <c r="M363" s="306">
        <f t="shared" ca="1" si="161"/>
        <v>-1.2111669241474123</v>
      </c>
      <c r="N363" s="304">
        <f t="shared" ca="1" si="162"/>
        <v>-69.394753039488236</v>
      </c>
      <c r="P363" s="310">
        <f t="shared" ca="1" si="163"/>
        <v>23</v>
      </c>
      <c r="Q363" s="304">
        <f t="shared" ca="1" si="164"/>
        <v>0</v>
      </c>
      <c r="R363" s="306">
        <f t="shared" ca="1" si="165"/>
        <v>0</v>
      </c>
      <c r="S363" s="307">
        <f t="shared" ca="1" si="166"/>
        <v>2.9792999999999985</v>
      </c>
      <c r="T363" s="304">
        <f t="shared" ca="1" si="146"/>
        <v>29.226932999999988</v>
      </c>
      <c r="U363" s="311">
        <f t="shared" ca="1" si="147"/>
        <v>0</v>
      </c>
      <c r="V363" s="306">
        <f t="shared" ca="1" si="148"/>
        <v>1.069152707781625</v>
      </c>
      <c r="W363" s="304">
        <f t="shared" ca="1" si="149"/>
        <v>6.0224636644073648</v>
      </c>
      <c r="Y363" s="314" t="str">
        <f t="shared" ca="1" si="167"/>
        <v/>
      </c>
      <c r="Z363" s="315" t="str">
        <f t="shared" ca="1" si="168"/>
        <v/>
      </c>
      <c r="AA363" s="316" t="str">
        <f t="shared" ca="1" si="169"/>
        <v/>
      </c>
      <c r="AC363" s="310" t="e">
        <f t="shared" ca="1" si="170"/>
        <v>#N/A</v>
      </c>
      <c r="AD363" s="323" t="e">
        <f t="shared" ca="1" si="171"/>
        <v>#N/A</v>
      </c>
      <c r="AE363" s="324" t="e">
        <f t="shared" ca="1" si="150"/>
        <v>#N/A</v>
      </c>
      <c r="AG363" s="306">
        <f t="shared" ca="1" si="172"/>
        <v>7.1937788738206105</v>
      </c>
      <c r="AH363" s="304">
        <f t="shared" ca="1" si="173"/>
        <v>-1.9653130370511893</v>
      </c>
    </row>
    <row r="364" spans="1:34" x14ac:dyDescent="0.2">
      <c r="A364" s="347">
        <f t="shared" ca="1" si="151"/>
        <v>0.1</v>
      </c>
      <c r="B364" s="304">
        <f t="shared" ca="1" si="152"/>
        <v>21.199999999999992</v>
      </c>
      <c r="D364" s="306">
        <f t="shared" ca="1" si="153"/>
        <v>-0.71139857937645867</v>
      </c>
      <c r="E364" s="307">
        <f t="shared" ca="1" si="154"/>
        <v>-7.9178808877181641</v>
      </c>
      <c r="F364" s="304">
        <f t="shared" ca="1" si="155"/>
        <v>7.9497751975028468</v>
      </c>
      <c r="G364" s="306">
        <f t="shared" ca="1" si="156"/>
        <v>18.386825695735514</v>
      </c>
      <c r="H364" s="307">
        <f t="shared" ca="1" si="157"/>
        <v>-49.884758485980434</v>
      </c>
      <c r="I364" s="304">
        <f t="shared" ca="1" si="158"/>
        <v>53.165444495178974</v>
      </c>
      <c r="J364" s="306">
        <f t="shared" ca="1" si="159"/>
        <v>559.27612896958033</v>
      </c>
      <c r="K364" s="307">
        <f t="shared" ca="1" si="160"/>
        <v>1353.6990508945419</v>
      </c>
      <c r="L364" s="304">
        <f t="shared" ca="1" si="145"/>
        <v>1464.6811628569483</v>
      </c>
      <c r="M364" s="306">
        <f t="shared" ca="1" si="161"/>
        <v>-1.2176606754533479</v>
      </c>
      <c r="N364" s="304">
        <f t="shared" ca="1" si="162"/>
        <v>-69.766817582525917</v>
      </c>
      <c r="P364" s="310">
        <f t="shared" ca="1" si="163"/>
        <v>23</v>
      </c>
      <c r="Q364" s="304">
        <f t="shared" ca="1" si="164"/>
        <v>0</v>
      </c>
      <c r="R364" s="306">
        <f t="shared" ca="1" si="165"/>
        <v>0</v>
      </c>
      <c r="S364" s="307">
        <f t="shared" ca="1" si="166"/>
        <v>2.9792999999999985</v>
      </c>
      <c r="T364" s="304">
        <f t="shared" ca="1" si="146"/>
        <v>29.226932999999988</v>
      </c>
      <c r="U364" s="311">
        <f t="shared" ca="1" si="147"/>
        <v>0</v>
      </c>
      <c r="V364" s="306">
        <f t="shared" ca="1" si="148"/>
        <v>1.0696843955800392</v>
      </c>
      <c r="W364" s="304">
        <f t="shared" ca="1" si="149"/>
        <v>6.1913795478871165</v>
      </c>
      <c r="Y364" s="314" t="str">
        <f t="shared" ca="1" si="167"/>
        <v/>
      </c>
      <c r="Z364" s="315" t="str">
        <f t="shared" ca="1" si="168"/>
        <v/>
      </c>
      <c r="AA364" s="316" t="str">
        <f t="shared" ca="1" si="169"/>
        <v/>
      </c>
      <c r="AC364" s="310" t="e">
        <f t="shared" ca="1" si="170"/>
        <v>#N/A</v>
      </c>
      <c r="AD364" s="323" t="e">
        <f t="shared" ca="1" si="171"/>
        <v>#N/A</v>
      </c>
      <c r="AE364" s="324" t="e">
        <f t="shared" ca="1" si="150"/>
        <v>#N/A</v>
      </c>
      <c r="AG364" s="306">
        <f t="shared" ca="1" si="172"/>
        <v>7.1609921287701255</v>
      </c>
      <c r="AH364" s="304">
        <f t="shared" ca="1" si="173"/>
        <v>-2.021435795122132</v>
      </c>
    </row>
    <row r="365" spans="1:34" x14ac:dyDescent="0.2">
      <c r="A365" s="347">
        <f t="shared" ca="1" si="151"/>
        <v>0.1</v>
      </c>
      <c r="B365" s="304">
        <f t="shared" ca="1" si="152"/>
        <v>21.299999999999994</v>
      </c>
      <c r="D365" s="306">
        <f t="shared" ca="1" si="153"/>
        <v>-0.71870472733298529</v>
      </c>
      <c r="E365" s="307">
        <f t="shared" ca="1" si="154"/>
        <v>-7.8601032457139297</v>
      </c>
      <c r="F365" s="304">
        <f t="shared" ca="1" si="155"/>
        <v>7.8928929752260943</v>
      </c>
      <c r="G365" s="306">
        <f t="shared" ca="1" si="156"/>
        <v>18.314955223002215</v>
      </c>
      <c r="H365" s="307">
        <f t="shared" ca="1" si="157"/>
        <v>-50.670768810551827</v>
      </c>
      <c r="I365" s="304">
        <f t="shared" ca="1" si="158"/>
        <v>53.879164773342282</v>
      </c>
      <c r="J365" s="306">
        <f t="shared" ca="1" si="159"/>
        <v>561.11121801551724</v>
      </c>
      <c r="K365" s="307">
        <f t="shared" ca="1" si="160"/>
        <v>1348.6712745297152</v>
      </c>
      <c r="L365" s="304">
        <f t="shared" ca="1" si="145"/>
        <v>1460.7395406863141</v>
      </c>
      <c r="M365" s="306">
        <f t="shared" ca="1" si="161"/>
        <v>-1.2239575977263193</v>
      </c>
      <c r="N365" s="304">
        <f t="shared" ca="1" si="162"/>
        <v>-70.127604652689101</v>
      </c>
      <c r="P365" s="310">
        <f t="shared" ca="1" si="163"/>
        <v>23</v>
      </c>
      <c r="Q365" s="304">
        <f t="shared" ca="1" si="164"/>
        <v>0</v>
      </c>
      <c r="R365" s="306">
        <f t="shared" ca="1" si="165"/>
        <v>0</v>
      </c>
      <c r="S365" s="307">
        <f t="shared" ca="1" si="166"/>
        <v>2.9792999999999985</v>
      </c>
      <c r="T365" s="304">
        <f t="shared" ca="1" si="146"/>
        <v>29.226932999999988</v>
      </c>
      <c r="U365" s="311">
        <f t="shared" ca="1" si="147"/>
        <v>0</v>
      </c>
      <c r="V365" s="306">
        <f t="shared" ca="1" si="148"/>
        <v>1.0702248114129722</v>
      </c>
      <c r="W365" s="304">
        <f t="shared" ca="1" si="149"/>
        <v>6.3619403682118261</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7.1265209411254844</v>
      </c>
      <c r="AH365" s="304">
        <f t="shared" ca="1" si="173"/>
        <v>-2.0781322954677677</v>
      </c>
    </row>
    <row r="366" spans="1:34" x14ac:dyDescent="0.2">
      <c r="A366" s="347">
        <f t="shared" ca="1" si="151"/>
        <v>0.1</v>
      </c>
      <c r="B366" s="304">
        <f t="shared" ca="1" si="152"/>
        <v>21.399999999999995</v>
      </c>
      <c r="D366" s="306">
        <f t="shared" ca="1" si="153"/>
        <v>-0.72587253453016121</v>
      </c>
      <c r="E366" s="307">
        <f t="shared" ca="1" si="154"/>
        <v>-7.8017767237064541</v>
      </c>
      <c r="F366" s="304">
        <f t="shared" ca="1" si="155"/>
        <v>7.8354713312571729</v>
      </c>
      <c r="G366" s="306">
        <f t="shared" ca="1" si="156"/>
        <v>18.2423679695492</v>
      </c>
      <c r="H366" s="307">
        <f t="shared" ca="1" si="157"/>
        <v>-51.450946482922475</v>
      </c>
      <c r="I366" s="304">
        <f t="shared" ca="1" si="158"/>
        <v>54.589228636471745</v>
      </c>
      <c r="J366" s="306">
        <f t="shared" ca="1" si="159"/>
        <v>562.93908417514479</v>
      </c>
      <c r="K366" s="307">
        <f t="shared" ca="1" si="160"/>
        <v>1343.5651887650415</v>
      </c>
      <c r="L366" s="304">
        <f t="shared" ca="1" si="145"/>
        <v>1456.7319001632361</v>
      </c>
      <c r="M366" s="306">
        <f t="shared" ca="1" si="161"/>
        <v>-1.230066311229008</v>
      </c>
      <c r="N366" s="304">
        <f t="shared" ca="1" si="162"/>
        <v>-70.47760815464774</v>
      </c>
      <c r="P366" s="310">
        <f t="shared" ca="1" si="163"/>
        <v>23</v>
      </c>
      <c r="Q366" s="304">
        <f t="shared" ca="1" si="164"/>
        <v>0</v>
      </c>
      <c r="R366" s="306">
        <f t="shared" ca="1" si="165"/>
        <v>0</v>
      </c>
      <c r="S366" s="307">
        <f t="shared" ca="1" si="166"/>
        <v>2.9792999999999985</v>
      </c>
      <c r="T366" s="304">
        <f t="shared" ca="1" si="146"/>
        <v>29.226932999999988</v>
      </c>
      <c r="U366" s="311">
        <f t="shared" ca="1" si="147"/>
        <v>0</v>
      </c>
      <c r="V366" s="306">
        <f t="shared" ca="1" si="148"/>
        <v>1.0707739049984455</v>
      </c>
      <c r="W366" s="304">
        <f t="shared" ca="1" si="149"/>
        <v>6.5340817454296749</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7.0904533007898909</v>
      </c>
      <c r="AH366" s="304">
        <f t="shared" ca="1" si="173"/>
        <v>-2.1353809177363239</v>
      </c>
    </row>
    <row r="367" spans="1:34" x14ac:dyDescent="0.2">
      <c r="A367" s="347">
        <f t="shared" ca="1" si="151"/>
        <v>0.1</v>
      </c>
      <c r="B367" s="304">
        <f t="shared" ca="1" si="152"/>
        <v>21.499999999999996</v>
      </c>
      <c r="D367" s="306">
        <f t="shared" ca="1" si="153"/>
        <v>-0.7328997624508351</v>
      </c>
      <c r="E367" s="307">
        <f t="shared" ca="1" si="154"/>
        <v>-7.7429226053246669</v>
      </c>
      <c r="F367" s="304">
        <f t="shared" ca="1" si="155"/>
        <v>7.777531262158206</v>
      </c>
      <c r="G367" s="306">
        <f t="shared" ca="1" si="156"/>
        <v>18.169077993304118</v>
      </c>
      <c r="H367" s="307">
        <f t="shared" ca="1" si="157"/>
        <v>-52.225238743454945</v>
      </c>
      <c r="I367" s="304">
        <f t="shared" ca="1" si="158"/>
        <v>55.295487672482238</v>
      </c>
      <c r="J367" s="306">
        <f t="shared" ca="1" si="159"/>
        <v>564.75965647328746</v>
      </c>
      <c r="K367" s="307">
        <f t="shared" ca="1" si="160"/>
        <v>1338.3813795037227</v>
      </c>
      <c r="L367" s="304">
        <f t="shared" ca="1" si="145"/>
        <v>1452.6590056107846</v>
      </c>
      <c r="M367" s="306">
        <f t="shared" ca="1" si="161"/>
        <v>-1.2359949653328799</v>
      </c>
      <c r="N367" s="304">
        <f t="shared" ca="1" si="162"/>
        <v>-70.817295012992517</v>
      </c>
      <c r="P367" s="310">
        <f t="shared" ca="1" si="163"/>
        <v>23</v>
      </c>
      <c r="Q367" s="304">
        <f t="shared" ca="1" si="164"/>
        <v>0</v>
      </c>
      <c r="R367" s="306">
        <f t="shared" ca="1" si="165"/>
        <v>0</v>
      </c>
      <c r="S367" s="307">
        <f t="shared" ca="1" si="166"/>
        <v>2.9792999999999985</v>
      </c>
      <c r="T367" s="304">
        <f t="shared" ca="1" si="146"/>
        <v>29.226932999999988</v>
      </c>
      <c r="U367" s="311">
        <f t="shared" ca="1" si="147"/>
        <v>0</v>
      </c>
      <c r="V367" s="306">
        <f t="shared" ca="1" si="148"/>
        <v>1.0713316255592962</v>
      </c>
      <c r="W367" s="304">
        <f t="shared" ca="1" si="149"/>
        <v>6.7077393760552253</v>
      </c>
      <c r="Y367" s="314" t="str">
        <f t="shared" ca="1" si="167"/>
        <v/>
      </c>
      <c r="Z367" s="315" t="str">
        <f t="shared" ca="1" si="168"/>
        <v/>
      </c>
      <c r="AA367" s="316" t="str">
        <f t="shared" ca="1" si="169"/>
        <v/>
      </c>
      <c r="AC367" s="310" t="e">
        <f t="shared" ca="1" si="170"/>
        <v>#N/A</v>
      </c>
      <c r="AD367" s="323" t="e">
        <f t="shared" ca="1" si="171"/>
        <v>#N/A</v>
      </c>
      <c r="AE367" s="324" t="e">
        <f t="shared" ca="1" si="150"/>
        <v>#N/A</v>
      </c>
      <c r="AG367" s="306">
        <f t="shared" ca="1" si="172"/>
        <v>7.0528724998197934</v>
      </c>
      <c r="AH367" s="304">
        <f t="shared" ca="1" si="173"/>
        <v>-2.1931600528411632</v>
      </c>
    </row>
    <row r="368" spans="1:34" x14ac:dyDescent="0.2">
      <c r="A368" s="347">
        <f t="shared" ca="1" si="151"/>
        <v>0.1</v>
      </c>
      <c r="B368" s="304">
        <f t="shared" ca="1" si="152"/>
        <v>21.599999999999998</v>
      </c>
      <c r="D368" s="306">
        <f t="shared" ca="1" si="153"/>
        <v>-0.73978435066007575</v>
      </c>
      <c r="E368" s="307">
        <f t="shared" ca="1" si="154"/>
        <v>-7.6835621947281734</v>
      </c>
      <c r="F368" s="304">
        <f t="shared" ca="1" si="155"/>
        <v>7.7190937865618379</v>
      </c>
      <c r="G368" s="306">
        <f t="shared" ca="1" si="156"/>
        <v>18.095099558238111</v>
      </c>
      <c r="H368" s="307">
        <f t="shared" ca="1" si="157"/>
        <v>-52.993594962927759</v>
      </c>
      <c r="I368" s="304">
        <f t="shared" ca="1" si="158"/>
        <v>55.99780116323668</v>
      </c>
      <c r="J368" s="306">
        <f t="shared" ca="1" si="159"/>
        <v>566.57286535086462</v>
      </c>
      <c r="K368" s="307">
        <f t="shared" ca="1" si="160"/>
        <v>1333.1204378184036</v>
      </c>
      <c r="L368" s="304">
        <f t="shared" ca="1" si="145"/>
        <v>1448.5216303117538</v>
      </c>
      <c r="M368" s="306">
        <f t="shared" ca="1" si="161"/>
        <v>-1.2417512680940126</v>
      </c>
      <c r="N368" s="304">
        <f t="shared" ca="1" si="162"/>
        <v>-71.147106866804918</v>
      </c>
      <c r="P368" s="310">
        <f t="shared" ca="1" si="163"/>
        <v>23</v>
      </c>
      <c r="Q368" s="304">
        <f t="shared" ca="1" si="164"/>
        <v>0</v>
      </c>
      <c r="R368" s="306">
        <f t="shared" ca="1" si="165"/>
        <v>0</v>
      </c>
      <c r="S368" s="307">
        <f t="shared" ca="1" si="166"/>
        <v>2.9792999999999985</v>
      </c>
      <c r="T368" s="304">
        <f t="shared" ca="1" si="146"/>
        <v>29.226932999999988</v>
      </c>
      <c r="U368" s="311">
        <f t="shared" ca="1" si="147"/>
        <v>0</v>
      </c>
      <c r="V368" s="306">
        <f t="shared" ca="1" si="148"/>
        <v>1.0718979218405849</v>
      </c>
      <c r="W368" s="304">
        <f t="shared" ca="1" si="149"/>
        <v>6.8828490752609381</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7.0138574914404899</v>
      </c>
      <c r="AH368" s="304">
        <f t="shared" ca="1" si="173"/>
        <v>-2.2514481173615377</v>
      </c>
    </row>
    <row r="369" spans="1:34" x14ac:dyDescent="0.2">
      <c r="A369" s="347">
        <f t="shared" ca="1" si="151"/>
        <v>0.1</v>
      </c>
      <c r="B369" s="304">
        <f t="shared" ca="1" si="152"/>
        <v>21.7</v>
      </c>
      <c r="D369" s="306">
        <f t="shared" ca="1" si="153"/>
        <v>-0.74652440972698664</v>
      </c>
      <c r="E369" s="307">
        <f t="shared" ca="1" si="154"/>
        <v>-7.6237167982035334</v>
      </c>
      <c r="F369" s="304">
        <f t="shared" ca="1" si="155"/>
        <v>7.6601799269683584</v>
      </c>
      <c r="G369" s="306">
        <f t="shared" ca="1" si="156"/>
        <v>18.020447117265412</v>
      </c>
      <c r="H369" s="307">
        <f t="shared" ca="1" si="157"/>
        <v>-53.755966642748113</v>
      </c>
      <c r="I369" s="304">
        <f t="shared" ca="1" si="158"/>
        <v>56.696035699177479</v>
      </c>
      <c r="J369" s="306">
        <f t="shared" ca="1" si="159"/>
        <v>568.37864268463977</v>
      </c>
      <c r="K369" s="307">
        <f t="shared" ca="1" si="160"/>
        <v>1327.7829597381199</v>
      </c>
      <c r="L369" s="304">
        <f t="shared" ca="1" si="145"/>
        <v>1444.3205563970055</v>
      </c>
      <c r="M369" s="306">
        <f t="shared" ca="1" si="161"/>
        <v>-1.2473425138275005</v>
      </c>
      <c r="N369" s="304">
        <f t="shared" ca="1" si="162"/>
        <v>-71.467461649554309</v>
      </c>
      <c r="P369" s="310">
        <f t="shared" ca="1" si="163"/>
        <v>23</v>
      </c>
      <c r="Q369" s="304">
        <f t="shared" ca="1" si="164"/>
        <v>0</v>
      </c>
      <c r="R369" s="306">
        <f t="shared" ca="1" si="165"/>
        <v>0</v>
      </c>
      <c r="S369" s="307">
        <f t="shared" ca="1" si="166"/>
        <v>2.9792999999999985</v>
      </c>
      <c r="T369" s="304">
        <f t="shared" ca="1" si="146"/>
        <v>29.226932999999988</v>
      </c>
      <c r="U369" s="311">
        <f t="shared" ca="1" si="147"/>
        <v>0</v>
      </c>
      <c r="V369" s="306">
        <f t="shared" ca="1" si="148"/>
        <v>1.072472742127045</v>
      </c>
      <c r="W369" s="304">
        <f t="shared" ca="1" si="149"/>
        <v>7.0593468183101908</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6.9734832169762075</v>
      </c>
      <c r="AH369" s="304">
        <f t="shared" ca="1" si="173"/>
        <v>-2.3102235677041389</v>
      </c>
    </row>
    <row r="370" spans="1:34" x14ac:dyDescent="0.2">
      <c r="A370" s="347">
        <f t="shared" ca="1" si="151"/>
        <v>0.1</v>
      </c>
      <c r="B370" s="304">
        <f t="shared" ca="1" si="152"/>
        <v>21.8</v>
      </c>
      <c r="D370" s="306">
        <f t="shared" ca="1" si="153"/>
        <v>-0.7531182145730464</v>
      </c>
      <c r="E370" s="307">
        <f t="shared" ca="1" si="154"/>
        <v>-7.563407706413324</v>
      </c>
      <c r="F370" s="304">
        <f t="shared" ca="1" si="155"/>
        <v>7.6008106921929155</v>
      </c>
      <c r="G370" s="306">
        <f t="shared" ca="1" si="156"/>
        <v>17.945135295808107</v>
      </c>
      <c r="H370" s="307">
        <f t="shared" ca="1" si="157"/>
        <v>-54.512307413389443</v>
      </c>
      <c r="I370" s="304">
        <f t="shared" ca="1" si="158"/>
        <v>57.390064822377852</v>
      </c>
      <c r="J370" s="306">
        <f t="shared" ca="1" si="159"/>
        <v>570.17692180529343</v>
      </c>
      <c r="K370" s="307">
        <f t="shared" ca="1" si="160"/>
        <v>1322.3695460353131</v>
      </c>
      <c r="L370" s="304">
        <f t="shared" ca="1" si="145"/>
        <v>1440.056574736215</v>
      </c>
      <c r="M370" s="306">
        <f t="shared" ca="1" si="161"/>
        <v>-1.2527756088140791</v>
      </c>
      <c r="N370" s="304">
        <f t="shared" ca="1" si="162"/>
        <v>-71.778755061978956</v>
      </c>
      <c r="P370" s="310">
        <f t="shared" ca="1" si="163"/>
        <v>23</v>
      </c>
      <c r="Q370" s="304">
        <f t="shared" ca="1" si="164"/>
        <v>0</v>
      </c>
      <c r="R370" s="306">
        <f t="shared" ca="1" si="165"/>
        <v>0</v>
      </c>
      <c r="S370" s="307">
        <f t="shared" ca="1" si="166"/>
        <v>2.9792999999999985</v>
      </c>
      <c r="T370" s="304">
        <f t="shared" ca="1" si="146"/>
        <v>29.226932999999988</v>
      </c>
      <c r="U370" s="311">
        <f t="shared" ca="1" si="147"/>
        <v>0</v>
      </c>
      <c r="V370" s="306">
        <f t="shared" ca="1" si="148"/>
        <v>1.073056034260558</v>
      </c>
      <c r="W370" s="304">
        <f t="shared" ca="1" si="149"/>
        <v>7.2371687811887409</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6.9318209036332563</v>
      </c>
      <c r="AH370" s="304">
        <f t="shared" ca="1" si="173"/>
        <v>-2.3694649140100674</v>
      </c>
    </row>
    <row r="371" spans="1:34" x14ac:dyDescent="0.2">
      <c r="A371" s="347">
        <f t="shared" ca="1" si="151"/>
        <v>0.1</v>
      </c>
      <c r="B371" s="304">
        <f t="shared" ca="1" si="152"/>
        <v>21.900000000000002</v>
      </c>
      <c r="D371" s="306">
        <f t="shared" ca="1" si="153"/>
        <v>-0.75956419820639498</v>
      </c>
      <c r="E371" s="307">
        <f t="shared" ca="1" si="154"/>
        <v>-7.5026561772702927</v>
      </c>
      <c r="F371" s="304">
        <f t="shared" ca="1" si="155"/>
        <v>7.5410070604348993</v>
      </c>
      <c r="G371" s="306">
        <f t="shared" ca="1" si="156"/>
        <v>17.869178875987469</v>
      </c>
      <c r="H371" s="307">
        <f t="shared" ca="1" si="157"/>
        <v>-55.262573031116474</v>
      </c>
      <c r="I371" s="304">
        <f t="shared" ca="1" si="158"/>
        <v>58.079768695489129</v>
      </c>
      <c r="J371" s="306">
        <f t="shared" ca="1" si="159"/>
        <v>571.96763751388323</v>
      </c>
      <c r="K371" s="307">
        <f t="shared" ca="1" si="160"/>
        <v>1316.8808020130878</v>
      </c>
      <c r="L371" s="304">
        <f t="shared" ca="1" si="145"/>
        <v>1435.7304848312745</v>
      </c>
      <c r="M371" s="306">
        <f t="shared" ca="1" si="161"/>
        <v>-1.2580570952656138</v>
      </c>
      <c r="N371" s="304">
        <f t="shared" ca="1" si="162"/>
        <v>-72.081361945207419</v>
      </c>
      <c r="P371" s="310">
        <f t="shared" ca="1" si="163"/>
        <v>23</v>
      </c>
      <c r="Q371" s="304">
        <f t="shared" ca="1" si="164"/>
        <v>0</v>
      </c>
      <c r="R371" s="306">
        <f t="shared" ca="1" si="165"/>
        <v>0</v>
      </c>
      <c r="S371" s="307">
        <f t="shared" ca="1" si="166"/>
        <v>2.9792999999999985</v>
      </c>
      <c r="T371" s="304">
        <f t="shared" ca="1" si="146"/>
        <v>29.226932999999988</v>
      </c>
      <c r="U371" s="311">
        <f t="shared" ca="1" si="147"/>
        <v>0</v>
      </c>
      <c r="V371" s="306">
        <f t="shared" ca="1" si="148"/>
        <v>1.0736477456576394</v>
      </c>
      <c r="W371" s="304">
        <f t="shared" ca="1" si="149"/>
        <v>7.416251380394387</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6.8889383358127549</v>
      </c>
      <c r="AH371" s="304">
        <f t="shared" ca="1" si="173"/>
        <v>-2.4291507337927514</v>
      </c>
    </row>
    <row r="372" spans="1:34" x14ac:dyDescent="0.2">
      <c r="A372" s="347">
        <f t="shared" ca="1" si="151"/>
        <v>0.1</v>
      </c>
      <c r="B372" s="304">
        <f t="shared" ca="1" si="152"/>
        <v>22.000000000000004</v>
      </c>
      <c r="D372" s="306">
        <f t="shared" ca="1" si="153"/>
        <v>-0.76586094580547692</v>
      </c>
      <c r="E372" s="307">
        <f t="shared" ca="1" si="154"/>
        <v>-7.441483419412787</v>
      </c>
      <c r="F372" s="304">
        <f t="shared" ca="1" si="155"/>
        <v>7.4807899629454564</v>
      </c>
      <c r="G372" s="306">
        <f t="shared" ca="1" si="156"/>
        <v>17.79259278140692</v>
      </c>
      <c r="H372" s="307">
        <f t="shared" ca="1" si="157"/>
        <v>-56.006721373057751</v>
      </c>
      <c r="I372" s="304">
        <f t="shared" ca="1" si="158"/>
        <v>58.765033794292144</v>
      </c>
      <c r="J372" s="306">
        <f t="shared" ca="1" si="159"/>
        <v>573.75072609675294</v>
      </c>
      <c r="K372" s="307">
        <f t="shared" ca="1" si="160"/>
        <v>1311.3173372928791</v>
      </c>
      <c r="L372" s="304">
        <f t="shared" ca="1" si="145"/>
        <v>1431.343094712598</v>
      </c>
      <c r="M372" s="306">
        <f t="shared" ca="1" si="161"/>
        <v>-1.263193173668967</v>
      </c>
      <c r="N372" s="304">
        <f t="shared" ca="1" si="162"/>
        <v>-72.375637560967846</v>
      </c>
      <c r="P372" s="310">
        <f t="shared" ca="1" si="163"/>
        <v>23</v>
      </c>
      <c r="Q372" s="304">
        <f t="shared" ca="1" si="164"/>
        <v>0</v>
      </c>
      <c r="R372" s="306">
        <f t="shared" ca="1" si="165"/>
        <v>0</v>
      </c>
      <c r="S372" s="307">
        <f t="shared" ca="1" si="166"/>
        <v>2.9792999999999985</v>
      </c>
      <c r="T372" s="304">
        <f t="shared" ca="1" si="146"/>
        <v>29.226932999999988</v>
      </c>
      <c r="U372" s="311">
        <f t="shared" ca="1" si="147"/>
        <v>0</v>
      </c>
      <c r="V372" s="306">
        <f t="shared" ca="1" si="148"/>
        <v>1.0742478233269246</v>
      </c>
      <c r="W372" s="304">
        <f t="shared" ca="1" si="149"/>
        <v>7.5965313118472775</v>
      </c>
      <c r="Y372" s="314" t="str">
        <f t="shared" ca="1" si="167"/>
        <v/>
      </c>
      <c r="Z372" s="315" t="str">
        <f t="shared" ca="1" si="168"/>
        <v/>
      </c>
      <c r="AA372" s="316" t="str">
        <f t="shared" ca="1" si="169"/>
        <v/>
      </c>
      <c r="AC372" s="310">
        <f t="shared" ca="1" si="170"/>
        <v>22.000000000000004</v>
      </c>
      <c r="AD372" s="323">
        <f t="shared" ca="1" si="171"/>
        <v>573.75072609675294</v>
      </c>
      <c r="AE372" s="324" t="e">
        <f t="shared" ca="1" si="150"/>
        <v>#N/A</v>
      </c>
      <c r="AG372" s="306">
        <f t="shared" ca="1" si="172"/>
        <v>6.8449001023877525</v>
      </c>
      <c r="AH372" s="304">
        <f t="shared" ca="1" si="173"/>
        <v>-2.4892596852933209</v>
      </c>
    </row>
    <row r="373" spans="1:34" x14ac:dyDescent="0.2">
      <c r="A373" s="347">
        <f t="shared" ca="1" si="151"/>
        <v>0.1</v>
      </c>
      <c r="B373" s="304">
        <f t="shared" ca="1" si="152"/>
        <v>22.100000000000005</v>
      </c>
      <c r="D373" s="306">
        <f t="shared" ca="1" si="153"/>
        <v>-0.77200718911907384</v>
      </c>
      <c r="E373" s="307">
        <f t="shared" ca="1" si="154"/>
        <v>-7.3799105762611337</v>
      </c>
      <c r="F373" s="304">
        <f t="shared" ca="1" si="155"/>
        <v>7.4201802682726292</v>
      </c>
      <c r="G373" s="306">
        <f t="shared" ca="1" si="156"/>
        <v>17.715392062495013</v>
      </c>
      <c r="H373" s="307">
        <f t="shared" ca="1" si="157"/>
        <v>-56.744712430683862</v>
      </c>
      <c r="I373" s="304">
        <f t="shared" ca="1" si="158"/>
        <v>59.445752621772051</v>
      </c>
      <c r="J373" s="306">
        <f t="shared" ca="1" si="159"/>
        <v>575.52612533894808</v>
      </c>
      <c r="K373" s="307">
        <f t="shared" ca="1" si="160"/>
        <v>1305.679765602692</v>
      </c>
      <c r="L373" s="304">
        <f t="shared" ca="1" si="145"/>
        <v>1426.895220838574</v>
      </c>
      <c r="M373" s="306">
        <f t="shared" ca="1" si="161"/>
        <v>-1.2681897236206376</v>
      </c>
      <c r="N373" s="304">
        <f t="shared" ca="1" si="162"/>
        <v>-72.661918785324858</v>
      </c>
      <c r="P373" s="310">
        <f t="shared" ca="1" si="163"/>
        <v>23</v>
      </c>
      <c r="Q373" s="304">
        <f t="shared" ca="1" si="164"/>
        <v>0</v>
      </c>
      <c r="R373" s="306">
        <f t="shared" ca="1" si="165"/>
        <v>0</v>
      </c>
      <c r="S373" s="307">
        <f t="shared" ca="1" si="166"/>
        <v>2.9792999999999985</v>
      </c>
      <c r="T373" s="304">
        <f t="shared" ca="1" si="146"/>
        <v>29.226932999999988</v>
      </c>
      <c r="U373" s="311">
        <f t="shared" ca="1" si="147"/>
        <v>0</v>
      </c>
      <c r="V373" s="306">
        <f t="shared" ca="1" si="148"/>
        <v>1.0748562138866307</v>
      </c>
      <c r="W373" s="304">
        <f t="shared" ca="1" si="149"/>
        <v>7.7779455888859603</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6.7997678221574898</v>
      </c>
      <c r="AH373" s="304">
        <f t="shared" ca="1" si="173"/>
        <v>-2.5497705205408256</v>
      </c>
    </row>
    <row r="374" spans="1:34" x14ac:dyDescent="0.2">
      <c r="A374" s="347">
        <f t="shared" ca="1" si="151"/>
        <v>0.1</v>
      </c>
      <c r="B374" s="304">
        <f t="shared" ca="1" si="152"/>
        <v>22.200000000000006</v>
      </c>
      <c r="D374" s="306">
        <f t="shared" ca="1" si="153"/>
        <v>-0.77800180115303186</v>
      </c>
      <c r="E374" s="307">
        <f t="shared" ca="1" si="154"/>
        <v>-7.3179587106374662</v>
      </c>
      <c r="F374" s="304">
        <f t="shared" ca="1" si="155"/>
        <v>7.3591987670664345</v>
      </c>
      <c r="G374" s="306">
        <f t="shared" ca="1" si="156"/>
        <v>17.637591882379709</v>
      </c>
      <c r="H374" s="307">
        <f t="shared" ca="1" si="157"/>
        <v>-57.476508301747607</v>
      </c>
      <c r="I374" s="304">
        <f t="shared" ca="1" si="158"/>
        <v>60.121823441827246</v>
      </c>
      <c r="J374" s="306">
        <f t="shared" ca="1" si="159"/>
        <v>577.29377453619179</v>
      </c>
      <c r="K374" s="307">
        <f t="shared" ca="1" si="160"/>
        <v>1299.9687045660703</v>
      </c>
      <c r="L374" s="304">
        <f t="shared" ca="1" si="145"/>
        <v>1422.3876879983989</v>
      </c>
      <c r="M374" s="306">
        <f t="shared" ca="1" si="161"/>
        <v>-1.2730523232575699</v>
      </c>
      <c r="N374" s="304">
        <f t="shared" ca="1" si="162"/>
        <v>-72.940525221982924</v>
      </c>
      <c r="P374" s="310">
        <f t="shared" ca="1" si="163"/>
        <v>23</v>
      </c>
      <c r="Q374" s="304">
        <f t="shared" ca="1" si="164"/>
        <v>0</v>
      </c>
      <c r="R374" s="306">
        <f t="shared" ca="1" si="165"/>
        <v>0</v>
      </c>
      <c r="S374" s="307">
        <f t="shared" ca="1" si="166"/>
        <v>2.9792999999999985</v>
      </c>
      <c r="T374" s="304">
        <f t="shared" ca="1" si="146"/>
        <v>29.226932999999988</v>
      </c>
      <c r="U374" s="311">
        <f t="shared" ca="1" si="147"/>
        <v>0</v>
      </c>
      <c r="V374" s="306">
        <f t="shared" ca="1" si="148"/>
        <v>1.0754728635819959</v>
      </c>
      <c r="W374" s="304">
        <f t="shared" ca="1" si="149"/>
        <v>7.9604315793169791</v>
      </c>
      <c r="Y374" s="314" t="str">
        <f t="shared" ca="1" si="167"/>
        <v/>
      </c>
      <c r="Z374" s="315" t="str">
        <f t="shared" ca="1" si="168"/>
        <v/>
      </c>
      <c r="AA374" s="316" t="str">
        <f t="shared" ca="1" si="169"/>
        <v/>
      </c>
      <c r="AC374" s="310" t="e">
        <f t="shared" ca="1" si="170"/>
        <v>#N/A</v>
      </c>
      <c r="AD374" s="323" t="e">
        <f t="shared" ca="1" si="171"/>
        <v>#N/A</v>
      </c>
      <c r="AE374" s="324" t="e">
        <f t="shared" ca="1" si="150"/>
        <v>#N/A</v>
      </c>
      <c r="AG374" s="306">
        <f t="shared" ca="1" si="172"/>
        <v>6.7536003494881829</v>
      </c>
      <c r="AH374" s="304">
        <f t="shared" ca="1" si="173"/>
        <v>-2.6106620981055833</v>
      </c>
    </row>
    <row r="375" spans="1:34" x14ac:dyDescent="0.2">
      <c r="A375" s="347">
        <f t="shared" ca="1" si="151"/>
        <v>0.1</v>
      </c>
      <c r="B375" s="304">
        <f t="shared" ca="1" si="152"/>
        <v>22.300000000000008</v>
      </c>
      <c r="D375" s="306">
        <f t="shared" ca="1" si="153"/>
        <v>-0.78384379111697156</v>
      </c>
      <c r="E375" s="307">
        <f t="shared" ca="1" si="154"/>
        <v>-7.2556487899339386</v>
      </c>
      <c r="F375" s="304">
        <f t="shared" ca="1" si="155"/>
        <v>7.2978661574286532</v>
      </c>
      <c r="G375" s="306">
        <f t="shared" ca="1" si="156"/>
        <v>17.559207503268013</v>
      </c>
      <c r="H375" s="307">
        <f t="shared" ca="1" si="157"/>
        <v>-58.202073180741003</v>
      </c>
      <c r="I375" s="304">
        <f t="shared" ca="1" si="158"/>
        <v>60.793150030897024</v>
      </c>
      <c r="J375" s="306">
        <f t="shared" ca="1" si="159"/>
        <v>579.05361450547423</v>
      </c>
      <c r="K375" s="307">
        <f t="shared" ca="1" si="160"/>
        <v>1294.1847754919459</v>
      </c>
      <c r="L375" s="304">
        <f t="shared" ca="1" si="145"/>
        <v>1417.8213292185276</v>
      </c>
      <c r="M375" s="306">
        <f t="shared" ca="1" si="161"/>
        <v>-1.2777862673827254</v>
      </c>
      <c r="N375" s="304">
        <f t="shared" ca="1" si="162"/>
        <v>-73.211760240805091</v>
      </c>
      <c r="P375" s="310">
        <f t="shared" ca="1" si="163"/>
        <v>23</v>
      </c>
      <c r="Q375" s="304">
        <f t="shared" ca="1" si="164"/>
        <v>0</v>
      </c>
      <c r="R375" s="306">
        <f t="shared" ca="1" si="165"/>
        <v>0</v>
      </c>
      <c r="S375" s="307">
        <f t="shared" ca="1" si="166"/>
        <v>2.9792999999999985</v>
      </c>
      <c r="T375" s="304">
        <f t="shared" ca="1" si="146"/>
        <v>29.226932999999988</v>
      </c>
      <c r="U375" s="311">
        <f t="shared" ca="1" si="147"/>
        <v>0</v>
      </c>
      <c r="V375" s="306">
        <f t="shared" ca="1" si="148"/>
        <v>1.0760977183026714</v>
      </c>
      <c r="W375" s="304">
        <f t="shared" ca="1" si="149"/>
        <v>8.1439270414883058</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6.7064539619640371</v>
      </c>
      <c r="AH375" s="304">
        <f t="shared" ca="1" si="173"/>
        <v>-2.6719133955348515</v>
      </c>
    </row>
    <row r="376" spans="1:34" x14ac:dyDescent="0.2">
      <c r="A376" s="347">
        <f t="shared" ca="1" si="151"/>
        <v>0.1</v>
      </c>
      <c r="B376" s="304">
        <f t="shared" ca="1" si="152"/>
        <v>22.400000000000009</v>
      </c>
      <c r="D376" s="306">
        <f t="shared" ca="1" si="153"/>
        <v>-0.78953229960695703</v>
      </c>
      <c r="E376" s="307">
        <f t="shared" ca="1" si="154"/>
        <v>-7.1930016718163126</v>
      </c>
      <c r="F376" s="304">
        <f t="shared" ca="1" si="155"/>
        <v>7.2362030307941829</v>
      </c>
      <c r="G376" s="306">
        <f t="shared" ca="1" si="156"/>
        <v>17.480254273307317</v>
      </c>
      <c r="H376" s="307">
        <f t="shared" ca="1" si="157"/>
        <v>-58.921373347922632</v>
      </c>
      <c r="I376" s="304">
        <f t="shared" ca="1" si="158"/>
        <v>61.459641445950254</v>
      </c>
      <c r="J376" s="306">
        <f t="shared" ca="1" si="159"/>
        <v>580.80558759430301</v>
      </c>
      <c r="K376" s="307">
        <f t="shared" ca="1" si="160"/>
        <v>1288.3286031655127</v>
      </c>
      <c r="L376" s="304">
        <f t="shared" ca="1" si="145"/>
        <v>1413.1969856729686</v>
      </c>
      <c r="M376" s="306">
        <f t="shared" ca="1" si="161"/>
        <v>-1.2823965843774769</v>
      </c>
      <c r="N376" s="304">
        <f t="shared" ca="1" si="162"/>
        <v>-73.475911946821796</v>
      </c>
      <c r="P376" s="310">
        <f t="shared" ca="1" si="163"/>
        <v>23</v>
      </c>
      <c r="Q376" s="304">
        <f t="shared" ca="1" si="164"/>
        <v>0</v>
      </c>
      <c r="R376" s="306">
        <f t="shared" ca="1" si="165"/>
        <v>0</v>
      </c>
      <c r="S376" s="307">
        <f t="shared" ca="1" si="166"/>
        <v>2.9792999999999985</v>
      </c>
      <c r="T376" s="304">
        <f t="shared" ca="1" si="146"/>
        <v>29.226932999999988</v>
      </c>
      <c r="U376" s="311">
        <f t="shared" ca="1" si="147"/>
        <v>0</v>
      </c>
      <c r="V376" s="306">
        <f t="shared" ca="1" si="148"/>
        <v>1.0767307236000596</v>
      </c>
      <c r="W376" s="304">
        <f t="shared" ca="1" si="149"/>
        <v>8.3283701593595332</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6.658382531702836</v>
      </c>
      <c r="AH376" s="304">
        <f t="shared" ca="1" si="173"/>
        <v>-2.7335035214608498</v>
      </c>
    </row>
    <row r="377" spans="1:34" x14ac:dyDescent="0.2">
      <c r="A377" s="347">
        <f t="shared" ca="1" si="151"/>
        <v>0.1</v>
      </c>
      <c r="B377" s="304">
        <f t="shared" ca="1" si="152"/>
        <v>22.500000000000011</v>
      </c>
      <c r="D377" s="306">
        <f t="shared" ca="1" si="153"/>
        <v>-0.79506659400253332</v>
      </c>
      <c r="E377" s="307">
        <f t="shared" ca="1" si="154"/>
        <v>-7.1300380904515874</v>
      </c>
      <c r="F377" s="304">
        <f t="shared" ca="1" si="155"/>
        <v>7.1742298583324819</v>
      </c>
      <c r="G377" s="306">
        <f t="shared" ca="1" si="156"/>
        <v>17.400747613907065</v>
      </c>
      <c r="H377" s="307">
        <f t="shared" ca="1" si="157"/>
        <v>-59.634377156967794</v>
      </c>
      <c r="I377" s="304">
        <f t="shared" ca="1" si="158"/>
        <v>62.121211807420295</v>
      </c>
      <c r="J377" s="306">
        <f t="shared" ca="1" si="159"/>
        <v>582.54963768866378</v>
      </c>
      <c r="K377" s="307">
        <f t="shared" ca="1" si="160"/>
        <v>1282.4008156402683</v>
      </c>
      <c r="L377" s="304">
        <f t="shared" ca="1" si="145"/>
        <v>1408.5155065976444</v>
      </c>
      <c r="M377" s="306">
        <f t="shared" ca="1" si="161"/>
        <v>-1.2868880519866253</v>
      </c>
      <c r="N377" s="304">
        <f t="shared" ca="1" si="162"/>
        <v>-73.733254084645708</v>
      </c>
      <c r="P377" s="310">
        <f t="shared" ca="1" si="163"/>
        <v>23</v>
      </c>
      <c r="Q377" s="304">
        <f t="shared" ca="1" si="164"/>
        <v>0</v>
      </c>
      <c r="R377" s="306">
        <f t="shared" ca="1" si="165"/>
        <v>0</v>
      </c>
      <c r="S377" s="307">
        <f t="shared" ca="1" si="166"/>
        <v>2.9792999999999985</v>
      </c>
      <c r="T377" s="304">
        <f t="shared" ca="1" si="146"/>
        <v>29.226932999999988</v>
      </c>
      <c r="U377" s="311">
        <f t="shared" ca="1" si="147"/>
        <v>0</v>
      </c>
      <c r="V377" s="306">
        <f t="shared" ca="1" si="148"/>
        <v>1.0773718247045838</v>
      </c>
      <c r="W377" s="304">
        <f t="shared" ca="1" si="149"/>
        <v>8.5136995765441892</v>
      </c>
      <c r="Y377" s="314" t="str">
        <f t="shared" ca="1" si="167"/>
        <v/>
      </c>
      <c r="Z377" s="315" t="str">
        <f t="shared" ca="1" si="168"/>
        <v/>
      </c>
      <c r="AA377" s="316" t="str">
        <f t="shared" ca="1" si="169"/>
        <v/>
      </c>
      <c r="AC377" s="310" t="e">
        <f t="shared" ca="1" si="170"/>
        <v>#N/A</v>
      </c>
      <c r="AD377" s="323" t="e">
        <f t="shared" ca="1" si="171"/>
        <v>#N/A</v>
      </c>
      <c r="AE377" s="324" t="e">
        <f t="shared" ca="1" si="150"/>
        <v>#N/A</v>
      </c>
      <c r="AG377" s="306">
        <f t="shared" ca="1" si="172"/>
        <v>6.6094376818366083</v>
      </c>
      <c r="AH377" s="304">
        <f t="shared" ca="1" si="173"/>
        <v>-2.7954117273720462</v>
      </c>
    </row>
    <row r="378" spans="1:34" x14ac:dyDescent="0.2">
      <c r="A378" s="347">
        <f t="shared" ca="1" si="151"/>
        <v>0.1</v>
      </c>
      <c r="B378" s="304">
        <f t="shared" ca="1" si="152"/>
        <v>22.600000000000012</v>
      </c>
      <c r="D378" s="306">
        <f t="shared" ca="1" si="153"/>
        <v>-0.80044606405875385</v>
      </c>
      <c r="E378" s="307">
        <f t="shared" ca="1" si="154"/>
        <v>-7.0667786432497905</v>
      </c>
      <c r="F378" s="304">
        <f t="shared" ca="1" si="155"/>
        <v>7.1119669778591144</v>
      </c>
      <c r="G378" s="306">
        <f t="shared" ca="1" si="156"/>
        <v>17.320703007501191</v>
      </c>
      <c r="H378" s="307">
        <f t="shared" ca="1" si="157"/>
        <v>-60.341055021292775</v>
      </c>
      <c r="I378" s="304">
        <f t="shared" ca="1" si="158"/>
        <v>62.777780095800956</v>
      </c>
      <c r="J378" s="306">
        <f t="shared" ca="1" si="159"/>
        <v>584.28571021973414</v>
      </c>
      <c r="K378" s="307">
        <f t="shared" ca="1" si="160"/>
        <v>1276.4020440313552</v>
      </c>
      <c r="L378" s="304">
        <f t="shared" ca="1" si="145"/>
        <v>1403.7777492090408</v>
      </c>
      <c r="M378" s="306">
        <f t="shared" ca="1" si="161"/>
        <v>-1.2912652120559103</v>
      </c>
      <c r="N378" s="304">
        <f t="shared" ca="1" si="162"/>
        <v>-73.984046882868924</v>
      </c>
      <c r="P378" s="310">
        <f t="shared" ca="1" si="163"/>
        <v>23</v>
      </c>
      <c r="Q378" s="304">
        <f t="shared" ca="1" si="164"/>
        <v>0</v>
      </c>
      <c r="R378" s="306">
        <f t="shared" ca="1" si="165"/>
        <v>0</v>
      </c>
      <c r="S378" s="307">
        <f t="shared" ca="1" si="166"/>
        <v>2.9792999999999985</v>
      </c>
      <c r="T378" s="304">
        <f t="shared" ca="1" si="146"/>
        <v>29.226932999999988</v>
      </c>
      <c r="U378" s="311">
        <f t="shared" ca="1" si="147"/>
        <v>0</v>
      </c>
      <c r="V378" s="306">
        <f t="shared" ca="1" si="148"/>
        <v>1.0780209665428804</v>
      </c>
      <c r="W378" s="304">
        <f t="shared" ca="1" si="149"/>
        <v>8.6998544293019719</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6.5596689295178372</v>
      </c>
      <c r="AH378" s="304">
        <f t="shared" ca="1" si="173"/>
        <v>-2.8576174190394368</v>
      </c>
    </row>
    <row r="379" spans="1:34" x14ac:dyDescent="0.2">
      <c r="A379" s="347">
        <f t="shared" ca="1" si="151"/>
        <v>0.1</v>
      </c>
      <c r="B379" s="304">
        <f t="shared" ca="1" si="152"/>
        <v>22.700000000000014</v>
      </c>
      <c r="D379" s="306">
        <f t="shared" ca="1" si="153"/>
        <v>-0.80567021767579539</v>
      </c>
      <c r="E379" s="307">
        <f t="shared" ca="1" si="154"/>
        <v>-7.0032437781111954</v>
      </c>
      <c r="F379" s="304">
        <f t="shared" ca="1" si="155"/>
        <v>7.0494345812485513</v>
      </c>
      <c r="G379" s="306">
        <f t="shared" ca="1" si="156"/>
        <v>17.240135985733613</v>
      </c>
      <c r="H379" s="307">
        <f t="shared" ca="1" si="157"/>
        <v>-61.041379399103896</v>
      </c>
      <c r="I379" s="304">
        <f t="shared" ca="1" si="158"/>
        <v>63.42926996073605</v>
      </c>
      <c r="J379" s="306">
        <f t="shared" ca="1" si="159"/>
        <v>586.01375216939584</v>
      </c>
      <c r="K379" s="307">
        <f t="shared" ca="1" si="160"/>
        <v>1270.3329223103353</v>
      </c>
      <c r="L379" s="304">
        <f t="shared" ca="1" si="145"/>
        <v>1398.9845786273595</v>
      </c>
      <c r="M379" s="306">
        <f t="shared" ca="1" si="161"/>
        <v>-1.2955323842962758</v>
      </c>
      <c r="N379" s="304">
        <f t="shared" ca="1" si="162"/>
        <v>-74.22853784269725</v>
      </c>
      <c r="P379" s="310">
        <f t="shared" ca="1" si="163"/>
        <v>23</v>
      </c>
      <c r="Q379" s="304">
        <f t="shared" ca="1" si="164"/>
        <v>0</v>
      </c>
      <c r="R379" s="306">
        <f t="shared" ca="1" si="165"/>
        <v>0</v>
      </c>
      <c r="S379" s="307">
        <f t="shared" ca="1" si="166"/>
        <v>2.9792999999999985</v>
      </c>
      <c r="T379" s="304">
        <f t="shared" ca="1" si="146"/>
        <v>29.226932999999988</v>
      </c>
      <c r="U379" s="311">
        <f t="shared" ca="1" si="147"/>
        <v>0</v>
      </c>
      <c r="V379" s="306">
        <f t="shared" ca="1" si="148"/>
        <v>1.0786780937549016</v>
      </c>
      <c r="W379" s="304">
        <f t="shared" ca="1" si="149"/>
        <v>8.8867743784612241</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6.5091238166848591</v>
      </c>
      <c r="AH379" s="304">
        <f t="shared" ca="1" si="173"/>
        <v>-2.9201001675903657</v>
      </c>
    </row>
    <row r="380" spans="1:34" x14ac:dyDescent="0.2">
      <c r="A380" s="347">
        <f t="shared" ca="1" si="151"/>
        <v>0.1</v>
      </c>
      <c r="B380" s="304">
        <f t="shared" ca="1" si="152"/>
        <v>22.800000000000015</v>
      </c>
      <c r="D380" s="306">
        <f t="shared" ca="1" si="153"/>
        <v>-0.81073867683058365</v>
      </c>
      <c r="E380" s="307">
        <f t="shared" ca="1" si="154"/>
        <v>-6.9394537811711325</v>
      </c>
      <c r="F380" s="304">
        <f t="shared" ca="1" si="155"/>
        <v>6.9866527023403231</v>
      </c>
      <c r="G380" s="306">
        <f t="shared" ca="1" si="156"/>
        <v>17.159062118050553</v>
      </c>
      <c r="H380" s="307">
        <f t="shared" ca="1" si="157"/>
        <v>-61.73532477722101</v>
      </c>
      <c r="I380" s="304">
        <f t="shared" ca="1" si="158"/>
        <v>64.075609541541439</v>
      </c>
      <c r="J380" s="306">
        <f t="shared" ca="1" si="159"/>
        <v>587.73371207458501</v>
      </c>
      <c r="K380" s="307">
        <f t="shared" ca="1" si="160"/>
        <v>1264.194087101519</v>
      </c>
      <c r="L380" s="304">
        <f t="shared" ca="1" si="145"/>
        <v>1394.1368678043825</v>
      </c>
      <c r="M380" s="306">
        <f t="shared" ca="1" si="161"/>
        <v>-1.2996936791438742</v>
      </c>
      <c r="N380" s="304">
        <f t="shared" ca="1" si="162"/>
        <v>-74.466962474774178</v>
      </c>
      <c r="P380" s="310">
        <f t="shared" ca="1" si="163"/>
        <v>23</v>
      </c>
      <c r="Q380" s="304">
        <f t="shared" ca="1" si="164"/>
        <v>0</v>
      </c>
      <c r="R380" s="306">
        <f t="shared" ca="1" si="165"/>
        <v>0</v>
      </c>
      <c r="S380" s="307">
        <f t="shared" ca="1" si="166"/>
        <v>2.9792999999999985</v>
      </c>
      <c r="T380" s="304">
        <f t="shared" ca="1" si="146"/>
        <v>29.226932999999988</v>
      </c>
      <c r="U380" s="311">
        <f t="shared" ca="1" si="147"/>
        <v>0</v>
      </c>
      <c r="V380" s="306">
        <f t="shared" ca="1" si="148"/>
        <v>1.0793431507109188</v>
      </c>
      <c r="W380" s="304">
        <f t="shared" ca="1" si="149"/>
        <v>9.0743996402541374</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6.4578480297049108</v>
      </c>
      <c r="AH380" s="304">
        <f t="shared" ca="1" si="173"/>
        <v>-2.9828397202232835</v>
      </c>
    </row>
    <row r="381" spans="1:34" x14ac:dyDescent="0.2">
      <c r="A381" s="347">
        <f t="shared" ca="1" si="151"/>
        <v>0.1</v>
      </c>
      <c r="B381" s="304">
        <f t="shared" ca="1" si="152"/>
        <v>22.900000000000016</v>
      </c>
      <c r="D381" s="306">
        <f t="shared" ca="1" si="153"/>
        <v>-0.81565117365644058</v>
      </c>
      <c r="E381" s="307">
        <f t="shared" ca="1" si="154"/>
        <v>-6.8754287650354016</v>
      </c>
      <c r="F381" s="304">
        <f t="shared" ca="1" si="155"/>
        <v>6.9236412053314371</v>
      </c>
      <c r="G381" s="306">
        <f t="shared" ca="1" si="156"/>
        <v>17.077497000684907</v>
      </c>
      <c r="H381" s="307">
        <f t="shared" ca="1" si="157"/>
        <v>-62.422867653724552</v>
      </c>
      <c r="I381" s="304">
        <f t="shared" ca="1" si="158"/>
        <v>64.716731298195313</v>
      </c>
      <c r="J381" s="306">
        <f t="shared" ca="1" si="159"/>
        <v>589.44554003052178</v>
      </c>
      <c r="K381" s="307">
        <f t="shared" ca="1" si="160"/>
        <v>1257.9861774799717</v>
      </c>
      <c r="L381" s="304">
        <f t="shared" ca="1" si="145"/>
        <v>1389.2354974562609</v>
      </c>
      <c r="M381" s="306">
        <f t="shared" ca="1" si="161"/>
        <v>-1.3037530097798355</v>
      </c>
      <c r="N381" s="304">
        <f t="shared" ca="1" si="162"/>
        <v>-74.699544987862922</v>
      </c>
      <c r="P381" s="310">
        <f t="shared" ca="1" si="163"/>
        <v>23</v>
      </c>
      <c r="Q381" s="304">
        <f t="shared" ca="1" si="164"/>
        <v>0</v>
      </c>
      <c r="R381" s="306">
        <f t="shared" ca="1" si="165"/>
        <v>0</v>
      </c>
      <c r="S381" s="307">
        <f t="shared" ca="1" si="166"/>
        <v>2.9792999999999985</v>
      </c>
      <c r="T381" s="304">
        <f t="shared" ca="1" si="146"/>
        <v>29.226932999999988</v>
      </c>
      <c r="U381" s="311">
        <f t="shared" ca="1" si="147"/>
        <v>0</v>
      </c>
      <c r="V381" s="306">
        <f t="shared" ca="1" si="148"/>
        <v>1.0800160815284106</v>
      </c>
      <c r="W381" s="304">
        <f t="shared" ca="1" si="149"/>
        <v>9.2626710160496035</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6.4058855089090772</v>
      </c>
      <c r="AH381" s="304">
        <f t="shared" ca="1" si="173"/>
        <v>-3.0458160105575613</v>
      </c>
    </row>
    <row r="382" spans="1:34" x14ac:dyDescent="0.2">
      <c r="A382" s="347">
        <f t="shared" ca="1" si="151"/>
        <v>0.1</v>
      </c>
      <c r="B382" s="304">
        <f t="shared" ca="1" si="152"/>
        <v>23.000000000000018</v>
      </c>
      <c r="D382" s="306">
        <f t="shared" ca="1" si="153"/>
        <v>-0.82040754665827997</v>
      </c>
      <c r="E382" s="307">
        <f t="shared" ca="1" si="154"/>
        <v>-6.8111886574998239</v>
      </c>
      <c r="F382" s="304">
        <f t="shared" ca="1" si="155"/>
        <v>6.8604197736485562</v>
      </c>
      <c r="G382" s="306">
        <f t="shared" ca="1" si="156"/>
        <v>16.995456246019078</v>
      </c>
      <c r="H382" s="307">
        <f t="shared" ca="1" si="157"/>
        <v>-63.103986519474532</v>
      </c>
      <c r="I382" s="304">
        <f t="shared" ca="1" si="158"/>
        <v>65.352571851920047</v>
      </c>
      <c r="J382" s="306">
        <f t="shared" ca="1" si="159"/>
        <v>591.14918769285703</v>
      </c>
      <c r="K382" s="307">
        <f t="shared" ca="1" si="160"/>
        <v>1251.7098347713118</v>
      </c>
      <c r="L382" s="304">
        <f t="shared" ca="1" si="145"/>
        <v>1384.281356001427</v>
      </c>
      <c r="M382" s="306">
        <f t="shared" ca="1" si="161"/>
        <v>-1.3077141033692101</v>
      </c>
      <c r="N382" s="304">
        <f t="shared" ca="1" si="162"/>
        <v>-74.926498932790409</v>
      </c>
      <c r="P382" s="310">
        <f t="shared" ca="1" si="163"/>
        <v>23</v>
      </c>
      <c r="Q382" s="304">
        <f t="shared" ca="1" si="164"/>
        <v>0</v>
      </c>
      <c r="R382" s="306">
        <f t="shared" ca="1" si="165"/>
        <v>0</v>
      </c>
      <c r="S382" s="307">
        <f t="shared" ca="1" si="166"/>
        <v>2.9792999999999985</v>
      </c>
      <c r="T382" s="304">
        <f t="shared" ca="1" si="146"/>
        <v>29.226932999999988</v>
      </c>
      <c r="U382" s="311">
        <f t="shared" ca="1" si="147"/>
        <v>0</v>
      </c>
      <c r="V382" s="306">
        <f t="shared" ca="1" si="148"/>
        <v>1.0806968300888384</v>
      </c>
      <c r="W382" s="304">
        <f t="shared" ca="1" si="149"/>
        <v>9.4515299209709589</v>
      </c>
      <c r="Y382" s="314" t="str">
        <f t="shared" ca="1" si="167"/>
        <v/>
      </c>
      <c r="Z382" s="315" t="str">
        <f t="shared" ca="1" si="168"/>
        <v/>
      </c>
      <c r="AA382" s="316" t="str">
        <f t="shared" ca="1" si="169"/>
        <v/>
      </c>
      <c r="AC382" s="310">
        <f t="shared" ca="1" si="170"/>
        <v>23.000000000000018</v>
      </c>
      <c r="AD382" s="323">
        <f t="shared" ca="1" si="171"/>
        <v>591.14918769285703</v>
      </c>
      <c r="AE382" s="324" t="e">
        <f t="shared" ca="1" si="150"/>
        <v>#N/A</v>
      </c>
      <c r="AG382" s="306">
        <f t="shared" ca="1" si="172"/>
        <v>6.3532785489388726</v>
      </c>
      <c r="AH382" s="304">
        <f t="shared" ca="1" si="173"/>
        <v>-3.109009168613301</v>
      </c>
    </row>
    <row r="383" spans="1:34" x14ac:dyDescent="0.2">
      <c r="A383" s="347">
        <f t="shared" ca="1" si="151"/>
        <v>0.1</v>
      </c>
      <c r="B383" s="304">
        <f t="shared" ca="1" si="152"/>
        <v>23.100000000000019</v>
      </c>
      <c r="D383" s="306">
        <f t="shared" ca="1" si="153"/>
        <v>-0.82500773705216046</v>
      </c>
      <c r="E383" s="307">
        <f t="shared" ca="1" si="154"/>
        <v>-6.7467531907478939</v>
      </c>
      <c r="F383" s="304">
        <f t="shared" ca="1" si="155"/>
        <v>6.7970078992938365</v>
      </c>
      <c r="G383" s="306">
        <f t="shared" ca="1" si="156"/>
        <v>16.912955472313861</v>
      </c>
      <c r="H383" s="307">
        <f t="shared" ca="1" si="157"/>
        <v>-63.778661838549318</v>
      </c>
      <c r="I383" s="304">
        <f t="shared" ca="1" si="158"/>
        <v>65.98307183455843</v>
      </c>
      <c r="J383" s="306">
        <f t="shared" ca="1" si="159"/>
        <v>592.84460827877365</v>
      </c>
      <c r="K383" s="307">
        <f t="shared" ca="1" si="160"/>
        <v>1245.3657023534106</v>
      </c>
      <c r="L383" s="304">
        <f t="shared" ca="1" si="145"/>
        <v>1379.2753395038339</v>
      </c>
      <c r="M383" s="306">
        <f t="shared" ca="1" si="161"/>
        <v>-1.3115805115741521</v>
      </c>
      <c r="N383" s="304">
        <f t="shared" ca="1" si="162"/>
        <v>-75.148027804808336</v>
      </c>
      <c r="P383" s="310">
        <f t="shared" ca="1" si="163"/>
        <v>23</v>
      </c>
      <c r="Q383" s="304">
        <f t="shared" ca="1" si="164"/>
        <v>0</v>
      </c>
      <c r="R383" s="306">
        <f t="shared" ca="1" si="165"/>
        <v>0</v>
      </c>
      <c r="S383" s="307">
        <f t="shared" ca="1" si="166"/>
        <v>2.9792999999999985</v>
      </c>
      <c r="T383" s="304">
        <f t="shared" ca="1" si="146"/>
        <v>29.226932999999988</v>
      </c>
      <c r="U383" s="311">
        <f t="shared" ca="1" si="147"/>
        <v>0</v>
      </c>
      <c r="V383" s="306">
        <f t="shared" ca="1" si="148"/>
        <v>1.0813853400542845</v>
      </c>
      <c r="W383" s="304">
        <f t="shared" ca="1" si="149"/>
        <v>9.6409184113877391</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6.3000678907387666</v>
      </c>
      <c r="AH383" s="304">
        <f t="shared" ca="1" si="173"/>
        <v>-3.1723995304168642</v>
      </c>
    </row>
    <row r="384" spans="1:34" x14ac:dyDescent="0.2">
      <c r="A384" s="347">
        <f t="shared" ca="1" si="151"/>
        <v>0.1</v>
      </c>
      <c r="B384" s="304">
        <f t="shared" ca="1" si="152"/>
        <v>23.200000000000021</v>
      </c>
      <c r="D384" s="306">
        <f t="shared" ca="1" si="153"/>
        <v>-0.82945178521922958</v>
      </c>
      <c r="E384" s="307">
        <f t="shared" ca="1" si="154"/>
        <v>-6.6821418910209642</v>
      </c>
      <c r="F384" s="304">
        <f t="shared" ca="1" si="155"/>
        <v>6.7334248726588308</v>
      </c>
      <c r="G384" s="306">
        <f t="shared" ca="1" si="156"/>
        <v>16.83001029379194</v>
      </c>
      <c r="H384" s="307">
        <f t="shared" ca="1" si="157"/>
        <v>-64.446876027651413</v>
      </c>
      <c r="I384" s="304">
        <f t="shared" ca="1" si="158"/>
        <v>66.608175746019441</v>
      </c>
      <c r="J384" s="306">
        <f t="shared" ca="1" si="159"/>
        <v>594.5317565670789</v>
      </c>
      <c r="K384" s="307">
        <f t="shared" ca="1" si="160"/>
        <v>1238.9544254601005</v>
      </c>
      <c r="L384" s="304">
        <f t="shared" ca="1" si="145"/>
        <v>1374.2183516217153</v>
      </c>
      <c r="M384" s="306">
        <f t="shared" ca="1" si="161"/>
        <v>-1.3153556203924053</v>
      </c>
      <c r="N384" s="304">
        <f t="shared" ca="1" si="162"/>
        <v>-75.364325607296863</v>
      </c>
      <c r="P384" s="310">
        <f t="shared" ca="1" si="163"/>
        <v>23</v>
      </c>
      <c r="Q384" s="304">
        <f t="shared" ca="1" si="164"/>
        <v>0</v>
      </c>
      <c r="R384" s="306">
        <f t="shared" ca="1" si="165"/>
        <v>0</v>
      </c>
      <c r="S384" s="307">
        <f t="shared" ca="1" si="166"/>
        <v>2.9792999999999985</v>
      </c>
      <c r="T384" s="304">
        <f t="shared" ca="1" si="146"/>
        <v>29.226932999999988</v>
      </c>
      <c r="U384" s="311">
        <f t="shared" ca="1" si="147"/>
        <v>0</v>
      </c>
      <c r="V384" s="306">
        <f t="shared" ca="1" si="148"/>
        <v>1.0820815548839577</v>
      </c>
      <c r="W384" s="304">
        <f t="shared" ca="1" si="149"/>
        <v>9.8307792112732066</v>
      </c>
      <c r="Y384" s="314" t="str">
        <f t="shared" ca="1" si="167"/>
        <v/>
      </c>
      <c r="Z384" s="315" t="str">
        <f t="shared" ca="1" si="168"/>
        <v/>
      </c>
      <c r="AA384" s="316" t="str">
        <f t="shared" ca="1" si="169"/>
        <v/>
      </c>
      <c r="AC384" s="310" t="e">
        <f t="shared" ca="1" si="170"/>
        <v>#N/A</v>
      </c>
      <c r="AD384" s="323" t="e">
        <f t="shared" ca="1" si="171"/>
        <v>#N/A</v>
      </c>
      <c r="AE384" s="324" t="e">
        <f t="shared" ca="1" si="150"/>
        <v>#N/A</v>
      </c>
      <c r="AG384" s="306">
        <f t="shared" ca="1" si="172"/>
        <v>6.2462928059515477</v>
      </c>
      <c r="AH384" s="304">
        <f t="shared" ca="1" si="173"/>
        <v>-3.2359676472284575</v>
      </c>
    </row>
    <row r="385" spans="1:34" x14ac:dyDescent="0.2">
      <c r="A385" s="347">
        <f t="shared" ca="1" si="151"/>
        <v>0.1</v>
      </c>
      <c r="B385" s="304">
        <f t="shared" ca="1" si="152"/>
        <v>23.300000000000022</v>
      </c>
      <c r="D385" s="306">
        <f t="shared" ca="1" si="153"/>
        <v>-0.83373982726516094</v>
      </c>
      <c r="E385" s="307">
        <f t="shared" ca="1" si="154"/>
        <v>-6.6173740687554208</v>
      </c>
      <c r="F385" s="304">
        <f t="shared" ca="1" si="155"/>
        <v>6.6696897728008917</v>
      </c>
      <c r="G385" s="306">
        <f t="shared" ca="1" si="156"/>
        <v>16.746636311065423</v>
      </c>
      <c r="H385" s="307">
        <f t="shared" ca="1" si="157"/>
        <v>-65.108613434526958</v>
      </c>
      <c r="I385" s="304">
        <f t="shared" ca="1" si="158"/>
        <v>67.227831819133954</v>
      </c>
      <c r="J385" s="306">
        <f t="shared" ca="1" si="159"/>
        <v>596.21058889732171</v>
      </c>
      <c r="K385" s="307">
        <f t="shared" ca="1" si="160"/>
        <v>1232.4766509869917</v>
      </c>
      <c r="L385" s="304">
        <f t="shared" ca="1" si="145"/>
        <v>1369.1113035620594</v>
      </c>
      <c r="M385" s="306">
        <f t="shared" ca="1" si="161"/>
        <v>-1.319042659368391</v>
      </c>
      <c r="N385" s="304">
        <f t="shared" ca="1" si="162"/>
        <v>-75.575577379521079</v>
      </c>
      <c r="P385" s="310">
        <f t="shared" ca="1" si="163"/>
        <v>23</v>
      </c>
      <c r="Q385" s="304">
        <f t="shared" ca="1" si="164"/>
        <v>0</v>
      </c>
      <c r="R385" s="306">
        <f t="shared" ca="1" si="165"/>
        <v>0</v>
      </c>
      <c r="S385" s="307">
        <f t="shared" ca="1" si="166"/>
        <v>2.9792999999999985</v>
      </c>
      <c r="T385" s="304">
        <f t="shared" ca="1" si="146"/>
        <v>29.226932999999988</v>
      </c>
      <c r="U385" s="311">
        <f t="shared" ca="1" si="147"/>
        <v>0</v>
      </c>
      <c r="V385" s="306">
        <f t="shared" ca="1" si="148"/>
        <v>1.0827854178505472</v>
      </c>
      <c r="W385" s="304">
        <f t="shared" ca="1" si="149"/>
        <v>10.021055737420964</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6.1919911744033387</v>
      </c>
      <c r="AH385" s="304">
        <f t="shared" ca="1" si="173"/>
        <v>-3.2996942943890213</v>
      </c>
    </row>
    <row r="386" spans="1:34" x14ac:dyDescent="0.2">
      <c r="A386" s="347">
        <f t="shared" ca="1" si="151"/>
        <v>0.1</v>
      </c>
      <c r="B386" s="304">
        <f t="shared" ca="1" si="152"/>
        <v>23.400000000000023</v>
      </c>
      <c r="D386" s="306">
        <f t="shared" ca="1" si="153"/>
        <v>-0.83787209167716148</v>
      </c>
      <c r="E386" s="307">
        <f t="shared" ca="1" si="154"/>
        <v>-6.5524688091816472</v>
      </c>
      <c r="F386" s="304">
        <f t="shared" ca="1" si="155"/>
        <v>6.6058214581768571</v>
      </c>
      <c r="G386" s="306">
        <f t="shared" ca="1" si="156"/>
        <v>16.662849101897706</v>
      </c>
      <c r="H386" s="307">
        <f t="shared" ca="1" si="157"/>
        <v>-65.763860315445129</v>
      </c>
      <c r="I386" s="304">
        <f t="shared" ca="1" si="158"/>
        <v>67.841991891320461</v>
      </c>
      <c r="J386" s="306">
        <f t="shared" ca="1" si="159"/>
        <v>597.88106316796984</v>
      </c>
      <c r="K386" s="307">
        <f t="shared" ca="1" si="160"/>
        <v>1225.933027299493</v>
      </c>
      <c r="L386" s="304">
        <f t="shared" ca="1" si="145"/>
        <v>1363.9551140409869</v>
      </c>
      <c r="M386" s="306">
        <f t="shared" ca="1" si="161"/>
        <v>-1.3226447102207373</v>
      </c>
      <c r="N386" s="304">
        <f t="shared" ca="1" si="162"/>
        <v>-75.781959690952021</v>
      </c>
      <c r="P386" s="310">
        <f t="shared" ca="1" si="163"/>
        <v>23</v>
      </c>
      <c r="Q386" s="304">
        <f t="shared" ca="1" si="164"/>
        <v>0</v>
      </c>
      <c r="R386" s="306">
        <f t="shared" ca="1" si="165"/>
        <v>0</v>
      </c>
      <c r="S386" s="307">
        <f t="shared" ca="1" si="166"/>
        <v>2.9792999999999985</v>
      </c>
      <c r="T386" s="304">
        <f t="shared" ca="1" si="146"/>
        <v>29.226932999999988</v>
      </c>
      <c r="U386" s="311">
        <f t="shared" ca="1" si="147"/>
        <v>0</v>
      </c>
      <c r="V386" s="306">
        <f t="shared" ca="1" si="148"/>
        <v>1.0834968720564231</v>
      </c>
      <c r="W386" s="304">
        <f t="shared" ca="1" si="149"/>
        <v>10.211692123516402</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6.1371995553018142</v>
      </c>
      <c r="AH386" s="304">
        <f t="shared" ca="1" si="173"/>
        <v>-3.3635604797841672</v>
      </c>
    </row>
    <row r="387" spans="1:34" x14ac:dyDescent="0.2">
      <c r="A387" s="347">
        <f t="shared" ca="1" si="151"/>
        <v>0.1</v>
      </c>
      <c r="B387" s="304">
        <f t="shared" ca="1" si="152"/>
        <v>23.500000000000025</v>
      </c>
      <c r="D387" s="306">
        <f t="shared" ca="1" si="153"/>
        <v>-0.84184889607149271</v>
      </c>
      <c r="E387" s="307">
        <f t="shared" ca="1" si="154"/>
        <v>-6.4874449633795148</v>
      </c>
      <c r="F387" s="304">
        <f t="shared" ca="1" si="155"/>
        <v>6.5418385578287568</v>
      </c>
      <c r="G387" s="306">
        <f t="shared" ca="1" si="156"/>
        <v>16.578664212290558</v>
      </c>
      <c r="H387" s="307">
        <f t="shared" ca="1" si="157"/>
        <v>-66.412604811783083</v>
      </c>
      <c r="I387" s="304">
        <f t="shared" ca="1" si="158"/>
        <v>68.450611282514913</v>
      </c>
      <c r="J387" s="306">
        <f t="shared" ca="1" si="159"/>
        <v>599.54313883367922</v>
      </c>
      <c r="K387" s="307">
        <f t="shared" ca="1" si="160"/>
        <v>1219.3242040431317</v>
      </c>
      <c r="L387" s="304">
        <f t="shared" ca="1" si="145"/>
        <v>1358.750709250213</v>
      </c>
      <c r="M387" s="306">
        <f t="shared" ca="1" si="161"/>
        <v>-1.3261647149268461</v>
      </c>
      <c r="N387" s="304">
        <f t="shared" ca="1" si="162"/>
        <v>-75.983641104478252</v>
      </c>
      <c r="P387" s="310">
        <f t="shared" ca="1" si="163"/>
        <v>23</v>
      </c>
      <c r="Q387" s="304">
        <f t="shared" ca="1" si="164"/>
        <v>0</v>
      </c>
      <c r="R387" s="306">
        <f t="shared" ca="1" si="165"/>
        <v>0</v>
      </c>
      <c r="S387" s="307">
        <f t="shared" ca="1" si="166"/>
        <v>2.9792999999999985</v>
      </c>
      <c r="T387" s="304">
        <f t="shared" ca="1" si="146"/>
        <v>29.226932999999988</v>
      </c>
      <c r="U387" s="311">
        <f t="shared" ca="1" si="147"/>
        <v>0</v>
      </c>
      <c r="V387" s="306">
        <f t="shared" ca="1" si="148"/>
        <v>1.0842158604496714</v>
      </c>
      <c r="W387" s="304">
        <f t="shared" ca="1" si="149"/>
        <v>10.402633243060507</v>
      </c>
      <c r="Y387" s="314" t="str">
        <f t="shared" ca="1" si="167"/>
        <v/>
      </c>
      <c r="Z387" s="315" t="str">
        <f t="shared" ca="1" si="168"/>
        <v/>
      </c>
      <c r="AA387" s="316" t="str">
        <f t="shared" ca="1" si="169"/>
        <v/>
      </c>
      <c r="AC387" s="310" t="e">
        <f t="shared" ca="1" si="170"/>
        <v>#N/A</v>
      </c>
      <c r="AD387" s="323" t="e">
        <f t="shared" ca="1" si="171"/>
        <v>#N/A</v>
      </c>
      <c r="AE387" s="324" t="e">
        <f t="shared" ca="1" si="150"/>
        <v>#N/A</v>
      </c>
      <c r="AG387" s="306">
        <f t="shared" ca="1" si="172"/>
        <v>6.0819532527136584</v>
      </c>
      <c r="AH387" s="304">
        <f t="shared" ca="1" si="173"/>
        <v>-3.427547451923743</v>
      </c>
    </row>
    <row r="388" spans="1:34" x14ac:dyDescent="0.2">
      <c r="A388" s="347">
        <f t="shared" ca="1" si="151"/>
        <v>0.1</v>
      </c>
      <c r="B388" s="304">
        <f t="shared" ca="1" si="152"/>
        <v>23.600000000000026</v>
      </c>
      <c r="D388" s="306">
        <f t="shared" ca="1" si="153"/>
        <v>-0.84567064402527603</v>
      </c>
      <c r="E388" s="307">
        <f t="shared" ca="1" si="154"/>
        <v>-6.4223211397851792</v>
      </c>
      <c r="F388" s="304">
        <f t="shared" ca="1" si="155"/>
        <v>6.4777594630163389</v>
      </c>
      <c r="G388" s="306">
        <f t="shared" ca="1" si="156"/>
        <v>16.494097147888031</v>
      </c>
      <c r="H388" s="307">
        <f t="shared" ca="1" si="157"/>
        <v>-67.054836925761606</v>
      </c>
      <c r="I388" s="304">
        <f t="shared" ca="1" si="158"/>
        <v>69.053648678867432</v>
      </c>
      <c r="J388" s="306">
        <f t="shared" ca="1" si="159"/>
        <v>601.19677690168817</v>
      </c>
      <c r="K388" s="307">
        <f t="shared" ca="1" si="160"/>
        <v>1212.6508319562545</v>
      </c>
      <c r="L388" s="304">
        <f t="shared" ref="L388:L451" ca="1" si="174">SQRT(pos_x^2+pos_z^2)</f>
        <v>1353.4990228297818</v>
      </c>
      <c r="M388" s="306">
        <f t="shared" ca="1" si="161"/>
        <v>-1.3296054833021285</v>
      </c>
      <c r="N388" s="304">
        <f t="shared" ca="1" si="162"/>
        <v>-76.180782610664011</v>
      </c>
      <c r="P388" s="310">
        <f t="shared" ca="1" si="163"/>
        <v>23</v>
      </c>
      <c r="Q388" s="304">
        <f t="shared" ca="1" si="164"/>
        <v>0</v>
      </c>
      <c r="R388" s="306">
        <f t="shared" ca="1" si="165"/>
        <v>0</v>
      </c>
      <c r="S388" s="307">
        <f t="shared" ca="1" si="166"/>
        <v>2.9792999999999985</v>
      </c>
      <c r="T388" s="304">
        <f t="shared" ref="T388:T451" ca="1" si="175">m*g</f>
        <v>29.226932999999988</v>
      </c>
      <c r="U388" s="311">
        <f t="shared" ref="U388:U451" ca="1" si="176">IF(pos_xz&lt;L_rampe,Poids*COS(Beta),0)</f>
        <v>0</v>
      </c>
      <c r="V388" s="306">
        <f t="shared" ref="V388:V451" ca="1" si="177">Rho_moyen*(20000-Alt_rampe-pos_z)/(20000+Alt_rampe+pos_z)</f>
        <v>1.0849423258399602</v>
      </c>
      <c r="W388" s="304">
        <f t="shared" ref="W388:W451" ca="1" si="178">1/2*Rho*Sref*Cx*vit_xz^2</f>
        <v>10.593824731145428</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6.0262863758354337</v>
      </c>
      <c r="AH388" s="304">
        <f t="shared" ca="1" si="173"/>
        <v>-3.4916367076361938</v>
      </c>
    </row>
    <row r="389" spans="1:34" x14ac:dyDescent="0.2">
      <c r="A389" s="347">
        <f t="shared" ref="A389:A452" ca="1" si="180">IF(B388+0.01&lt;=T_ini+ROUNDUP(Temps_fin_propu,0), 0.01, IF(K388&gt;0, 0.1, 0.0001))</f>
        <v>0.1</v>
      </c>
      <c r="B389" s="304">
        <f t="shared" ref="B389:B452" ca="1" si="181">B388+pas</f>
        <v>23.700000000000028</v>
      </c>
      <c r="D389" s="306">
        <f t="shared" ref="D389:D452" ca="1" si="182">IF(AND(L388&lt;L_rampe,Poussee&lt;Poids*SIN(M388)),0,(-W388+Poussee)/m*COS(M388)-U388/m*SIN(M388))</f>
        <v>-0.84933782198699581</v>
      </c>
      <c r="E389" s="307">
        <f t="shared" ref="E389:E452" ca="1" si="183">IF(AND(L388&lt;L_rampe,Poussee&lt;Poids*SIN(M388)),0,(-W388+Poussee)/m*SIN(M388)+U388/m*COS(M388)-Poids/m)</f>
        <v>-6.3571156961439446</v>
      </c>
      <c r="F389" s="304">
        <f t="shared" ref="F389:F452" ca="1" si="184">SQRT(acc_x^2+acc_z^2)</f>
        <v>6.4136023192911891</v>
      </c>
      <c r="G389" s="306">
        <f t="shared" ref="G389:G452" ca="1" si="185">G388+acc_x*pas</f>
        <v>16.409163365689331</v>
      </c>
      <c r="H389" s="307">
        <f t="shared" ref="H389:H452" ca="1" si="186">H388+acc_z*pas</f>
        <v>-67.690548495376007</v>
      </c>
      <c r="I389" s="304">
        <f t="shared" ref="I389:I452" ca="1" si="187">SQRT(vit_x^2+vit_z^2)</f>
        <v>69.651066021753977</v>
      </c>
      <c r="J389" s="306">
        <f t="shared" ref="J389:J452" ca="1" si="188">J388+0.5*(vit_x+G388)*pas*(K388&gt;=0)</f>
        <v>602.84193992736698</v>
      </c>
      <c r="K389" s="307">
        <f t="shared" ref="K389:K452" ca="1" si="189">K388+0.5*(vit_z+H388)*pas</f>
        <v>1205.9135626851976</v>
      </c>
      <c r="L389" s="304">
        <f t="shared" ca="1" si="174"/>
        <v>1348.2009958472427</v>
      </c>
      <c r="M389" s="306">
        <f t="shared" ref="M389:M452" ca="1" si="190">IF(AND(L388&gt;L_rampe,G389&gt;0),ATAN2(G389,H389),$M$4)</f>
        <v>-1.3329697001087459</v>
      </c>
      <c r="N389" s="304">
        <f t="shared" ref="N389:N452" ca="1" si="191">DEGREES(Beta)</f>
        <v>-76.373538035050174</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2.9792999999999985</v>
      </c>
      <c r="T389" s="304">
        <f t="shared" ca="1" si="175"/>
        <v>29.226932999999988</v>
      </c>
      <c r="U389" s="311">
        <f t="shared" ca="1" si="176"/>
        <v>0</v>
      </c>
      <c r="V389" s="306">
        <f t="shared" ca="1" si="177"/>
        <v>1.0856762109142248</v>
      </c>
      <c r="W389" s="304">
        <f t="shared" ca="1" si="178"/>
        <v>10.785213005083198</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5.9702318945250585</v>
      </c>
      <c r="AH389" s="304">
        <f t="shared" ref="AH389:AH452" ca="1" si="202">IF(AND(L388&lt;L_rampe,Poussee&lt;Poids*SIN(M388)), g*SIN(M388), (-W388+Poussee)/m)</f>
        <v>-3.5558099993775163</v>
      </c>
    </row>
    <row r="390" spans="1:34" x14ac:dyDescent="0.2">
      <c r="A390" s="347">
        <f t="shared" ca="1" si="180"/>
        <v>0.1</v>
      </c>
      <c r="B390" s="304">
        <f t="shared" ca="1" si="181"/>
        <v>23.800000000000029</v>
      </c>
      <c r="D390" s="306">
        <f t="shared" ca="1" si="182"/>
        <v>-0.8528509962608346</v>
      </c>
      <c r="E390" s="307">
        <f t="shared" ca="1" si="183"/>
        <v>-6.2918467319038358</v>
      </c>
      <c r="F390" s="304">
        <f t="shared" ca="1" si="184"/>
        <v>6.3493850190071228</v>
      </c>
      <c r="G390" s="306">
        <f t="shared" ca="1" si="185"/>
        <v>16.323878266063247</v>
      </c>
      <c r="H390" s="307">
        <f t="shared" ca="1" si="186"/>
        <v>-68.319733168566387</v>
      </c>
      <c r="I390" s="304">
        <f t="shared" ca="1" si="187"/>
        <v>70.242828401690673</v>
      </c>
      <c r="J390" s="306">
        <f t="shared" ca="1" si="188"/>
        <v>604.47859200895459</v>
      </c>
      <c r="K390" s="307">
        <f t="shared" ca="1" si="189"/>
        <v>1199.1130486020004</v>
      </c>
      <c r="L390" s="304">
        <f t="shared" ca="1" si="174"/>
        <v>1342.857576783447</v>
      </c>
      <c r="M390" s="306">
        <f t="shared" ca="1" si="190"/>
        <v>-1.3362599317261536</v>
      </c>
      <c r="N390" s="304">
        <f t="shared" ca="1" si="191"/>
        <v>-76.562054420348133</v>
      </c>
      <c r="P390" s="310">
        <f t="shared" ca="1" si="192"/>
        <v>23</v>
      </c>
      <c r="Q390" s="304">
        <f t="shared" ca="1" si="193"/>
        <v>0</v>
      </c>
      <c r="R390" s="306">
        <f t="shared" ca="1" si="194"/>
        <v>0</v>
      </c>
      <c r="S390" s="307">
        <f t="shared" ca="1" si="195"/>
        <v>2.9792999999999985</v>
      </c>
      <c r="T390" s="304">
        <f t="shared" ca="1" si="175"/>
        <v>29.226932999999988</v>
      </c>
      <c r="U390" s="311">
        <f t="shared" ca="1" si="176"/>
        <v>0</v>
      </c>
      <c r="V390" s="306">
        <f t="shared" ca="1" si="177"/>
        <v>1.0864174582521677</v>
      </c>
      <c r="W390" s="304">
        <f t="shared" ca="1" si="178"/>
        <v>10.976745283890551</v>
      </c>
      <c r="Y390" s="314" t="str">
        <f t="shared" ca="1" si="196"/>
        <v/>
      </c>
      <c r="Z390" s="315" t="str">
        <f t="shared" ca="1" si="197"/>
        <v/>
      </c>
      <c r="AA390" s="316" t="str">
        <f t="shared" ca="1" si="198"/>
        <v/>
      </c>
      <c r="AC390" s="310" t="e">
        <f t="shared" ca="1" si="199"/>
        <v>#N/A</v>
      </c>
      <c r="AD390" s="323" t="e">
        <f t="shared" ca="1" si="200"/>
        <v>#N/A</v>
      </c>
      <c r="AE390" s="324" t="e">
        <f t="shared" ca="1" si="179"/>
        <v>#N/A</v>
      </c>
      <c r="AG390" s="306">
        <f t="shared" ca="1" si="201"/>
        <v>5.9138216905183558</v>
      </c>
      <c r="AH390" s="304">
        <f t="shared" ca="1" si="202"/>
        <v>-3.6200493421552729</v>
      </c>
    </row>
    <row r="391" spans="1:34" x14ac:dyDescent="0.2">
      <c r="A391" s="347">
        <f t="shared" ca="1" si="180"/>
        <v>0.1</v>
      </c>
      <c r="B391" s="304">
        <f t="shared" ca="1" si="181"/>
        <v>23.900000000000031</v>
      </c>
      <c r="D391" s="306">
        <f t="shared" ca="1" si="182"/>
        <v>-0.85621081006048227</v>
      </c>
      <c r="E391" s="307">
        <f t="shared" ca="1" si="183"/>
        <v>-6.2265320810444003</v>
      </c>
      <c r="F391" s="304">
        <f t="shared" ca="1" si="184"/>
        <v>6.2851251942614113</v>
      </c>
      <c r="G391" s="306">
        <f t="shared" ca="1" si="185"/>
        <v>16.238257185057197</v>
      </c>
      <c r="H391" s="307">
        <f t="shared" ca="1" si="186"/>
        <v>-68.942386376670825</v>
      </c>
      <c r="I391" s="304">
        <f t="shared" ca="1" si="187"/>
        <v>70.828903956776202</v>
      </c>
      <c r="J391" s="306">
        <f t="shared" ca="1" si="188"/>
        <v>606.10669878151066</v>
      </c>
      <c r="K391" s="307">
        <f t="shared" ca="1" si="189"/>
        <v>1192.2499426247384</v>
      </c>
      <c r="L391" s="304">
        <f t="shared" ca="1" si="174"/>
        <v>1337.4697215251315</v>
      </c>
      <c r="M391" s="306">
        <f t="shared" ca="1" si="190"/>
        <v>-1.3394786324133645</v>
      </c>
      <c r="N391" s="304">
        <f t="shared" ca="1" si="191"/>
        <v>-76.746472385241177</v>
      </c>
      <c r="P391" s="310">
        <f t="shared" ca="1" si="192"/>
        <v>23</v>
      </c>
      <c r="Q391" s="304">
        <f t="shared" ca="1" si="193"/>
        <v>0</v>
      </c>
      <c r="R391" s="306">
        <f t="shared" ca="1" si="194"/>
        <v>0</v>
      </c>
      <c r="S391" s="307">
        <f t="shared" ca="1" si="195"/>
        <v>2.9792999999999985</v>
      </c>
      <c r="T391" s="304">
        <f t="shared" ca="1" si="175"/>
        <v>29.226932999999988</v>
      </c>
      <c r="U391" s="311">
        <f t="shared" ca="1" si="176"/>
        <v>0</v>
      </c>
      <c r="V391" s="306">
        <f t="shared" ca="1" si="177"/>
        <v>1.0871660103415697</v>
      </c>
      <c r="W391" s="304">
        <f t="shared" ca="1" si="178"/>
        <v>11.168369606634792</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5.8570866047167147</v>
      </c>
      <c r="AH391" s="304">
        <f t="shared" ca="1" si="202"/>
        <v>-3.6843370200686594</v>
      </c>
    </row>
    <row r="392" spans="1:34" x14ac:dyDescent="0.2">
      <c r="A392" s="347">
        <f t="shared" ca="1" si="180"/>
        <v>0.1</v>
      </c>
      <c r="B392" s="304">
        <f t="shared" ca="1" si="181"/>
        <v>24.000000000000032</v>
      </c>
      <c r="D392" s="306">
        <f t="shared" ca="1" si="182"/>
        <v>-0.85941798062861141</v>
      </c>
      <c r="E392" s="307">
        <f t="shared" ca="1" si="183"/>
        <v>-6.1611893053350961</v>
      </c>
      <c r="F392" s="304">
        <f t="shared" ca="1" si="184"/>
        <v>6.2208402102612572</v>
      </c>
      <c r="G392" s="306">
        <f t="shared" ca="1" si="185"/>
        <v>16.152315386994335</v>
      </c>
      <c r="H392" s="307">
        <f t="shared" ca="1" si="186"/>
        <v>-69.558505307204328</v>
      </c>
      <c r="I392" s="304">
        <f t="shared" ca="1" si="187"/>
        <v>71.409263775320539</v>
      </c>
      <c r="J392" s="306">
        <f t="shared" ca="1" si="188"/>
        <v>607.72622741011321</v>
      </c>
      <c r="K392" s="307">
        <f t="shared" ca="1" si="189"/>
        <v>1185.3248980405447</v>
      </c>
      <c r="L392" s="304">
        <f t="shared" ca="1" si="174"/>
        <v>1332.0383933644541</v>
      </c>
      <c r="M392" s="306">
        <f t="shared" ca="1" si="190"/>
        <v>-1.3426281501906585</v>
      </c>
      <c r="N392" s="304">
        <f t="shared" ca="1" si="191"/>
        <v>-76.926926461381541</v>
      </c>
      <c r="P392" s="310">
        <f t="shared" ca="1" si="192"/>
        <v>23</v>
      </c>
      <c r="Q392" s="304">
        <f t="shared" ca="1" si="193"/>
        <v>0</v>
      </c>
      <c r="R392" s="306">
        <f t="shared" ca="1" si="194"/>
        <v>0</v>
      </c>
      <c r="S392" s="307">
        <f t="shared" ca="1" si="195"/>
        <v>2.9792999999999985</v>
      </c>
      <c r="T392" s="304">
        <f t="shared" ca="1" si="175"/>
        <v>29.226932999999988</v>
      </c>
      <c r="U392" s="311">
        <f t="shared" ca="1" si="176"/>
        <v>0</v>
      </c>
      <c r="V392" s="306">
        <f t="shared" ca="1" si="177"/>
        <v>1.0879218095933978</v>
      </c>
      <c r="W392" s="304">
        <f t="shared" ca="1" si="178"/>
        <v>11.360034849646922</v>
      </c>
      <c r="Y392" s="314" t="str">
        <f t="shared" ca="1" si="196"/>
        <v/>
      </c>
      <c r="Z392" s="315" t="str">
        <f t="shared" ca="1" si="197"/>
        <v/>
      </c>
      <c r="AA392" s="316" t="str">
        <f t="shared" ca="1" si="198"/>
        <v/>
      </c>
      <c r="AC392" s="310">
        <f t="shared" ca="1" si="199"/>
        <v>24.000000000000032</v>
      </c>
      <c r="AD392" s="323">
        <f t="shared" ca="1" si="200"/>
        <v>607.72622741011321</v>
      </c>
      <c r="AE392" s="324" t="e">
        <f t="shared" ca="1" si="179"/>
        <v>#N/A</v>
      </c>
      <c r="AG392" s="306">
        <f t="shared" ca="1" si="201"/>
        <v>5.8000564808967656</v>
      </c>
      <c r="AH392" s="304">
        <f t="shared" ca="1" si="202"/>
        <v>-3.7486555924662834</v>
      </c>
    </row>
    <row r="393" spans="1:34" x14ac:dyDescent="0.2">
      <c r="A393" s="347">
        <f t="shared" ca="1" si="180"/>
        <v>0.1</v>
      </c>
      <c r="B393" s="304">
        <f t="shared" ca="1" si="181"/>
        <v>24.100000000000033</v>
      </c>
      <c r="D393" s="306">
        <f t="shared" ca="1" si="182"/>
        <v>-0.86247329641866888</v>
      </c>
      <c r="E393" s="307">
        <f t="shared" ca="1" si="183"/>
        <v>-6.0958356880175124</v>
      </c>
      <c r="F393" s="304">
        <f t="shared" ca="1" si="184"/>
        <v>6.1565471591098229</v>
      </c>
      <c r="G393" s="306">
        <f t="shared" ca="1" si="185"/>
        <v>16.066068057352467</v>
      </c>
      <c r="H393" s="307">
        <f t="shared" ca="1" si="186"/>
        <v>-70.168088876006081</v>
      </c>
      <c r="I393" s="304">
        <f t="shared" ca="1" si="187"/>
        <v>71.983881802349131</v>
      </c>
      <c r="J393" s="306">
        <f t="shared" ca="1" si="188"/>
        <v>609.33714658233055</v>
      </c>
      <c r="K393" s="307">
        <f t="shared" ca="1" si="189"/>
        <v>1178.3385683313841</v>
      </c>
      <c r="L393" s="304">
        <f t="shared" ca="1" si="174"/>
        <v>1326.5645630056431</v>
      </c>
      <c r="M393" s="306">
        <f t="shared" ca="1" si="190"/>
        <v>-1.3457107323664452</v>
      </c>
      <c r="N393" s="304">
        <f t="shared" ca="1" si="191"/>
        <v>-77.103545410056384</v>
      </c>
      <c r="P393" s="310">
        <f t="shared" ca="1" si="192"/>
        <v>23</v>
      </c>
      <c r="Q393" s="304">
        <f t="shared" ca="1" si="193"/>
        <v>0</v>
      </c>
      <c r="R393" s="306">
        <f t="shared" ca="1" si="194"/>
        <v>0</v>
      </c>
      <c r="S393" s="307">
        <f t="shared" ca="1" si="195"/>
        <v>2.9792999999999985</v>
      </c>
      <c r="T393" s="304">
        <f t="shared" ca="1" si="175"/>
        <v>29.226932999999988</v>
      </c>
      <c r="U393" s="311">
        <f t="shared" ca="1" si="176"/>
        <v>0</v>
      </c>
      <c r="V393" s="306">
        <f t="shared" ca="1" si="177"/>
        <v>1.0886847983567134</v>
      </c>
      <c r="W393" s="304">
        <f t="shared" ca="1" si="178"/>
        <v>11.551690742610175</v>
      </c>
      <c r="Y393" s="314" t="str">
        <f t="shared" ca="1" si="196"/>
        <v/>
      </c>
      <c r="Z393" s="315" t="str">
        <f t="shared" ca="1" si="197"/>
        <v/>
      </c>
      <c r="AA393" s="316" t="str">
        <f t="shared" ca="1" si="198"/>
        <v/>
      </c>
      <c r="AC393" s="310" t="e">
        <f t="shared" ca="1" si="199"/>
        <v>#N/A</v>
      </c>
      <c r="AD393" s="323" t="e">
        <f t="shared" ca="1" si="200"/>
        <v>#N/A</v>
      </c>
      <c r="AE393" s="324" t="e">
        <f t="shared" ca="1" si="179"/>
        <v>#N/A</v>
      </c>
      <c r="AG393" s="306">
        <f t="shared" ca="1" si="201"/>
        <v>5.742760206161444</v>
      </c>
      <c r="AH393" s="304">
        <f t="shared" ca="1" si="202"/>
        <v>-3.8129878997237365</v>
      </c>
    </row>
    <row r="394" spans="1:34" x14ac:dyDescent="0.2">
      <c r="A394" s="347">
        <f t="shared" ca="1" si="180"/>
        <v>0.1</v>
      </c>
      <c r="B394" s="304">
        <f t="shared" ca="1" si="181"/>
        <v>24.200000000000035</v>
      </c>
      <c r="D394" s="306">
        <f t="shared" ca="1" si="182"/>
        <v>-0.86537761433603611</v>
      </c>
      <c r="E394" s="307">
        <f t="shared" ca="1" si="183"/>
        <v>-6.0304882279053746</v>
      </c>
      <c r="F394" s="304">
        <f t="shared" ca="1" si="184"/>
        <v>6.0922628540058277</v>
      </c>
      <c r="G394" s="306">
        <f t="shared" ca="1" si="185"/>
        <v>15.979530295918863</v>
      </c>
      <c r="H394" s="307">
        <f t="shared" ca="1" si="186"/>
        <v>-70.771137698796622</v>
      </c>
      <c r="I394" s="304">
        <f t="shared" ca="1" si="187"/>
        <v>72.552734749699269</v>
      </c>
      <c r="J394" s="306">
        <f t="shared" ca="1" si="188"/>
        <v>610.93942649999417</v>
      </c>
      <c r="K394" s="307">
        <f t="shared" ca="1" si="189"/>
        <v>1171.291607002644</v>
      </c>
      <c r="L394" s="304">
        <f t="shared" ca="1" si="174"/>
        <v>1321.0492085789151</v>
      </c>
      <c r="M394" s="306">
        <f t="shared" ca="1" si="190"/>
        <v>-1.3487285307331076</v>
      </c>
      <c r="N394" s="304">
        <f t="shared" ca="1" si="191"/>
        <v>-77.276452519887613</v>
      </c>
      <c r="P394" s="310">
        <f t="shared" ca="1" si="192"/>
        <v>23</v>
      </c>
      <c r="Q394" s="304">
        <f t="shared" ca="1" si="193"/>
        <v>0</v>
      </c>
      <c r="R394" s="306">
        <f t="shared" ca="1" si="194"/>
        <v>0</v>
      </c>
      <c r="S394" s="307">
        <f t="shared" ca="1" si="195"/>
        <v>2.9792999999999985</v>
      </c>
      <c r="T394" s="304">
        <f t="shared" ca="1" si="175"/>
        <v>29.226932999999988</v>
      </c>
      <c r="U394" s="311">
        <f t="shared" ca="1" si="176"/>
        <v>0</v>
      </c>
      <c r="V394" s="306">
        <f t="shared" ca="1" si="177"/>
        <v>1.089454918933368</v>
      </c>
      <c r="W394" s="304">
        <f t="shared" ca="1" si="178"/>
        <v>11.743287883533361</v>
      </c>
      <c r="Y394" s="314" t="str">
        <f t="shared" ca="1" si="196"/>
        <v/>
      </c>
      <c r="Z394" s="315" t="str">
        <f t="shared" ca="1" si="197"/>
        <v/>
      </c>
      <c r="AA394" s="316" t="str">
        <f t="shared" ca="1" si="198"/>
        <v/>
      </c>
      <c r="AC394" s="310" t="e">
        <f t="shared" ca="1" si="199"/>
        <v>#N/A</v>
      </c>
      <c r="AD394" s="323" t="e">
        <f t="shared" ca="1" si="200"/>
        <v>#N/A</v>
      </c>
      <c r="AE394" s="324" t="e">
        <f t="shared" ca="1" si="179"/>
        <v>#N/A</v>
      </c>
      <c r="AG394" s="306">
        <f t="shared" ca="1" si="201"/>
        <v>5.6852257484228286</v>
      </c>
      <c r="AH394" s="304">
        <f t="shared" ca="1" si="202"/>
        <v>-3.877317068643702</v>
      </c>
    </row>
    <row r="395" spans="1:34" x14ac:dyDescent="0.2">
      <c r="A395" s="347">
        <f t="shared" ca="1" si="180"/>
        <v>0.1</v>
      </c>
      <c r="B395" s="304">
        <f t="shared" ca="1" si="181"/>
        <v>24.300000000000036</v>
      </c>
      <c r="D395" s="306">
        <f t="shared" ca="1" si="182"/>
        <v>-0.86813185703599982</v>
      </c>
      <c r="E395" s="307">
        <f t="shared" ca="1" si="183"/>
        <v>-5.9651636338961698</v>
      </c>
      <c r="F395" s="304">
        <f t="shared" ca="1" si="184"/>
        <v>6.0280038238506561</v>
      </c>
      <c r="G395" s="306">
        <f t="shared" ca="1" si="185"/>
        <v>15.892717110215264</v>
      </c>
      <c r="H395" s="307">
        <f t="shared" ca="1" si="186"/>
        <v>-71.367654062186233</v>
      </c>
      <c r="I395" s="304">
        <f t="shared" ca="1" si="187"/>
        <v>73.115802009450846</v>
      </c>
      <c r="J395" s="306">
        <f t="shared" ca="1" si="188"/>
        <v>612.53303887030086</v>
      </c>
      <c r="K395" s="307">
        <f t="shared" ca="1" si="189"/>
        <v>1164.184667414595</v>
      </c>
      <c r="L395" s="304">
        <f t="shared" ca="1" si="174"/>
        <v>1315.4933156618154</v>
      </c>
      <c r="M395" s="306">
        <f t="shared" ca="1" si="190"/>
        <v>-1.3516836064539317</v>
      </c>
      <c r="N395" s="304">
        <f t="shared" ca="1" si="191"/>
        <v>-77.445765886832405</v>
      </c>
      <c r="P395" s="310">
        <f t="shared" ca="1" si="192"/>
        <v>23</v>
      </c>
      <c r="Q395" s="304">
        <f t="shared" ca="1" si="193"/>
        <v>0</v>
      </c>
      <c r="R395" s="306">
        <f t="shared" ca="1" si="194"/>
        <v>0</v>
      </c>
      <c r="S395" s="307">
        <f t="shared" ca="1" si="195"/>
        <v>2.9792999999999985</v>
      </c>
      <c r="T395" s="304">
        <f t="shared" ca="1" si="175"/>
        <v>29.226932999999988</v>
      </c>
      <c r="U395" s="311">
        <f t="shared" ca="1" si="176"/>
        <v>0</v>
      </c>
      <c r="V395" s="306">
        <f t="shared" ca="1" si="177"/>
        <v>1.0902321135924871</v>
      </c>
      <c r="W395" s="304">
        <f t="shared" ca="1" si="178"/>
        <v>11.934777752620048</v>
      </c>
      <c r="Y395" s="314" t="str">
        <f t="shared" ca="1" si="196"/>
        <v/>
      </c>
      <c r="Z395" s="315" t="str">
        <f t="shared" ca="1" si="197"/>
        <v/>
      </c>
      <c r="AA395" s="316" t="str">
        <f t="shared" ca="1" si="198"/>
        <v/>
      </c>
      <c r="AC395" s="310" t="e">
        <f t="shared" ca="1" si="199"/>
        <v>#N/A</v>
      </c>
      <c r="AD395" s="323" t="e">
        <f t="shared" ca="1" si="200"/>
        <v>#N/A</v>
      </c>
      <c r="AE395" s="324" t="e">
        <f t="shared" ca="1" si="179"/>
        <v>#N/A</v>
      </c>
      <c r="AG395" s="306">
        <f t="shared" ca="1" si="201"/>
        <v>5.6274801911812595</v>
      </c>
      <c r="AH395" s="304">
        <f t="shared" ca="1" si="202"/>
        <v>-3.9416265174817462</v>
      </c>
    </row>
    <row r="396" spans="1:34" x14ac:dyDescent="0.2">
      <c r="A396" s="347">
        <f t="shared" ca="1" si="180"/>
        <v>0.1</v>
      </c>
      <c r="B396" s="304">
        <f t="shared" ca="1" si="181"/>
        <v>24.400000000000038</v>
      </c>
      <c r="D396" s="306">
        <f t="shared" ca="1" si="182"/>
        <v>-0.87073701027628658</v>
      </c>
      <c r="E396" s="307">
        <f t="shared" ca="1" si="183"/>
        <v>-5.8998783198879572</v>
      </c>
      <c r="F396" s="304">
        <f t="shared" ca="1" si="184"/>
        <v>5.9637863082565952</v>
      </c>
      <c r="G396" s="306">
        <f t="shared" ca="1" si="185"/>
        <v>15.805643409187635</v>
      </c>
      <c r="H396" s="307">
        <f t="shared" ca="1" si="186"/>
        <v>-71.957641894175026</v>
      </c>
      <c r="I396" s="304">
        <f t="shared" ca="1" si="187"/>
        <v>73.673065570456131</v>
      </c>
      <c r="J396" s="306">
        <f t="shared" ca="1" si="188"/>
        <v>614.11795689627104</v>
      </c>
      <c r="K396" s="307">
        <f t="shared" ca="1" si="189"/>
        <v>1157.0184026167769</v>
      </c>
      <c r="L396" s="304">
        <f t="shared" ca="1" si="174"/>
        <v>1309.8978773081237</v>
      </c>
      <c r="M396" s="306">
        <f t="shared" ca="1" si="190"/>
        <v>-1.3545779346616231</v>
      </c>
      <c r="N396" s="304">
        <f t="shared" ca="1" si="191"/>
        <v>-77.61159867765879</v>
      </c>
      <c r="P396" s="310">
        <f t="shared" ca="1" si="192"/>
        <v>23</v>
      </c>
      <c r="Q396" s="304">
        <f t="shared" ca="1" si="193"/>
        <v>0</v>
      </c>
      <c r="R396" s="306">
        <f t="shared" ca="1" si="194"/>
        <v>0</v>
      </c>
      <c r="S396" s="307">
        <f t="shared" ca="1" si="195"/>
        <v>2.9792999999999985</v>
      </c>
      <c r="T396" s="304">
        <f t="shared" ca="1" si="175"/>
        <v>29.226932999999988</v>
      </c>
      <c r="U396" s="311">
        <f t="shared" ca="1" si="176"/>
        <v>0</v>
      </c>
      <c r="V396" s="306">
        <f t="shared" ca="1" si="177"/>
        <v>1.09101632458473</v>
      </c>
      <c r="W396" s="304">
        <f t="shared" ca="1" si="178"/>
        <v>12.126112725045653</v>
      </c>
      <c r="Y396" s="314" t="str">
        <f t="shared" ca="1" si="196"/>
        <v/>
      </c>
      <c r="Z396" s="315" t="str">
        <f t="shared" ca="1" si="197"/>
        <v/>
      </c>
      <c r="AA396" s="316" t="str">
        <f t="shared" ca="1" si="198"/>
        <v/>
      </c>
      <c r="AC396" s="310" t="e">
        <f t="shared" ca="1" si="199"/>
        <v>#N/A</v>
      </c>
      <c r="AD396" s="323" t="e">
        <f t="shared" ca="1" si="200"/>
        <v>#N/A</v>
      </c>
      <c r="AE396" s="324" t="e">
        <f t="shared" ca="1" si="179"/>
        <v>#N/A</v>
      </c>
      <c r="AG396" s="306">
        <f t="shared" ca="1" si="201"/>
        <v>5.5695497658413675</v>
      </c>
      <c r="AH396" s="304">
        <f t="shared" ca="1" si="202"/>
        <v>-4.0058999606015018</v>
      </c>
    </row>
    <row r="397" spans="1:34" x14ac:dyDescent="0.2">
      <c r="A397" s="347">
        <f t="shared" ca="1" si="180"/>
        <v>0.1</v>
      </c>
      <c r="B397" s="304">
        <f t="shared" ca="1" si="181"/>
        <v>24.500000000000039</v>
      </c>
      <c r="D397" s="306">
        <f t="shared" ca="1" si="182"/>
        <v>-0.8731941203222171</v>
      </c>
      <c r="E397" s="307">
        <f t="shared" ca="1" si="183"/>
        <v>-5.8346484000947898</v>
      </c>
      <c r="F397" s="304">
        <f t="shared" ca="1" si="184"/>
        <v>5.8996262529497558</v>
      </c>
      <c r="G397" s="306">
        <f t="shared" ca="1" si="185"/>
        <v>15.718323997155412</v>
      </c>
      <c r="H397" s="307">
        <f t="shared" ca="1" si="186"/>
        <v>-72.54110673418451</v>
      </c>
      <c r="I397" s="304">
        <f t="shared" ca="1" si="187"/>
        <v>74.224509937755073</v>
      </c>
      <c r="J397" s="306">
        <f t="shared" ca="1" si="188"/>
        <v>615.69415526658815</v>
      </c>
      <c r="K397" s="307">
        <f t="shared" ca="1" si="189"/>
        <v>1149.7934651853589</v>
      </c>
      <c r="L397" s="304">
        <f t="shared" ca="1" si="174"/>
        <v>1304.2638940844727</v>
      </c>
      <c r="M397" s="306">
        <f t="shared" ca="1" si="190"/>
        <v>-1.357413408787439</v>
      </c>
      <c r="N397" s="304">
        <f t="shared" ca="1" si="191"/>
        <v>-77.774059377986589</v>
      </c>
      <c r="P397" s="310">
        <f t="shared" ca="1" si="192"/>
        <v>23</v>
      </c>
      <c r="Q397" s="304">
        <f t="shared" ca="1" si="193"/>
        <v>0</v>
      </c>
      <c r="R397" s="306">
        <f t="shared" ca="1" si="194"/>
        <v>0</v>
      </c>
      <c r="S397" s="307">
        <f t="shared" ca="1" si="195"/>
        <v>2.9792999999999985</v>
      </c>
      <c r="T397" s="304">
        <f t="shared" ca="1" si="175"/>
        <v>29.226932999999988</v>
      </c>
      <c r="U397" s="311">
        <f t="shared" ca="1" si="176"/>
        <v>0</v>
      </c>
      <c r="V397" s="306">
        <f t="shared" ca="1" si="177"/>
        <v>1.0918074941563294</v>
      </c>
      <c r="W397" s="304">
        <f t="shared" ca="1" si="178"/>
        <v>12.317246082656299</v>
      </c>
      <c r="Y397" s="314" t="str">
        <f t="shared" ca="1" si="196"/>
        <v/>
      </c>
      <c r="Z397" s="315" t="str">
        <f t="shared" ca="1" si="197"/>
        <v/>
      </c>
      <c r="AA397" s="316" t="str">
        <f t="shared" ca="1" si="198"/>
        <v/>
      </c>
      <c r="AC397" s="310" t="e">
        <f t="shared" ca="1" si="199"/>
        <v>#N/A</v>
      </c>
      <c r="AD397" s="323" t="e">
        <f t="shared" ca="1" si="200"/>
        <v>#N/A</v>
      </c>
      <c r="AE397" s="324" t="e">
        <f t="shared" ca="1" si="179"/>
        <v>#N/A</v>
      </c>
      <c r="AG397" s="306">
        <f t="shared" ca="1" si="201"/>
        <v>5.5114598817842575</v>
      </c>
      <c r="AH397" s="304">
        <f t="shared" ca="1" si="202"/>
        <v>-4.0701214127632861</v>
      </c>
    </row>
    <row r="398" spans="1:34" x14ac:dyDescent="0.2">
      <c r="A398" s="347">
        <f t="shared" ca="1" si="180"/>
        <v>0.1</v>
      </c>
      <c r="B398" s="304">
        <f t="shared" ca="1" si="181"/>
        <v>24.600000000000041</v>
      </c>
      <c r="D398" s="306">
        <f t="shared" ca="1" si="182"/>
        <v>-0.87550429140280916</v>
      </c>
      <c r="E398" s="307">
        <f t="shared" ca="1" si="183"/>
        <v>-5.7694896847538377</v>
      </c>
      <c r="F398" s="304">
        <f t="shared" ca="1" si="184"/>
        <v>5.8355393055608555</v>
      </c>
      <c r="G398" s="306">
        <f t="shared" ca="1" si="185"/>
        <v>15.630773568015131</v>
      </c>
      <c r="H398" s="307">
        <f t="shared" ca="1" si="186"/>
        <v>-73.118055702659888</v>
      </c>
      <c r="I398" s="304">
        <f t="shared" ca="1" si="187"/>
        <v>74.770122054680598</v>
      </c>
      <c r="J398" s="306">
        <f t="shared" ca="1" si="188"/>
        <v>617.26161014484671</v>
      </c>
      <c r="K398" s="307">
        <f t="shared" ca="1" si="189"/>
        <v>1142.5105070635166</v>
      </c>
      <c r="L398" s="304">
        <f t="shared" ca="1" si="174"/>
        <v>1298.5923741148115</v>
      </c>
      <c r="M398" s="306">
        <f t="shared" ca="1" si="190"/>
        <v>-1.3601918446385974</v>
      </c>
      <c r="N398" s="304">
        <f t="shared" ca="1" si="191"/>
        <v>-77.933252025905801</v>
      </c>
      <c r="P398" s="310">
        <f t="shared" ca="1" si="192"/>
        <v>23</v>
      </c>
      <c r="Q398" s="304">
        <f t="shared" ca="1" si="193"/>
        <v>0</v>
      </c>
      <c r="R398" s="306">
        <f t="shared" ca="1" si="194"/>
        <v>0</v>
      </c>
      <c r="S398" s="307">
        <f t="shared" ca="1" si="195"/>
        <v>2.9792999999999985</v>
      </c>
      <c r="T398" s="304">
        <f t="shared" ca="1" si="175"/>
        <v>29.226932999999988</v>
      </c>
      <c r="U398" s="311">
        <f t="shared" ca="1" si="176"/>
        <v>0</v>
      </c>
      <c r="V398" s="306">
        <f t="shared" ca="1" si="177"/>
        <v>1.0926055645629005</v>
      </c>
      <c r="W398" s="304">
        <f t="shared" ca="1" si="178"/>
        <v>12.508132024603988</v>
      </c>
      <c r="Y398" s="314" t="str">
        <f t="shared" ca="1" si="196"/>
        <v/>
      </c>
      <c r="Z398" s="315" t="str">
        <f t="shared" ca="1" si="197"/>
        <v/>
      </c>
      <c r="AA398" s="316" t="str">
        <f t="shared" ca="1" si="198"/>
        <v/>
      </c>
      <c r="AC398" s="310" t="e">
        <f t="shared" ca="1" si="199"/>
        <v>#N/A</v>
      </c>
      <c r="AD398" s="323" t="e">
        <f t="shared" ca="1" si="200"/>
        <v>#N/A</v>
      </c>
      <c r="AE398" s="324" t="e">
        <f t="shared" ca="1" si="179"/>
        <v>#N/A</v>
      </c>
      <c r="AG398" s="306">
        <f t="shared" ca="1" si="201"/>
        <v>5.453235154395383</v>
      </c>
      <c r="AH398" s="304">
        <f t="shared" ca="1" si="202"/>
        <v>-4.1342751930508186</v>
      </c>
    </row>
    <row r="399" spans="1:34" x14ac:dyDescent="0.2">
      <c r="A399" s="347">
        <f t="shared" ca="1" si="180"/>
        <v>0.1</v>
      </c>
      <c r="B399" s="304">
        <f t="shared" ca="1" si="181"/>
        <v>24.700000000000042</v>
      </c>
      <c r="D399" s="306">
        <f t="shared" ca="1" si="182"/>
        <v>-0.87766868321636038</v>
      </c>
      <c r="E399" s="307">
        <f t="shared" ca="1" si="183"/>
        <v>-5.7044176762172221</v>
      </c>
      <c r="F399" s="304">
        <f t="shared" ca="1" si="184"/>
        <v>5.7715408117969877</v>
      </c>
      <c r="G399" s="306">
        <f t="shared" ca="1" si="185"/>
        <v>15.543006699693496</v>
      </c>
      <c r="H399" s="307">
        <f t="shared" ca="1" si="186"/>
        <v>-73.688497470281604</v>
      </c>
      <c r="I399" s="304">
        <f t="shared" ca="1" si="187"/>
        <v>75.309891227476982</v>
      </c>
      <c r="J399" s="306">
        <f t="shared" ca="1" si="188"/>
        <v>618.82029915823216</v>
      </c>
      <c r="K399" s="307">
        <f t="shared" ca="1" si="189"/>
        <v>1135.1701794048695</v>
      </c>
      <c r="L399" s="304">
        <f t="shared" ca="1" si="174"/>
        <v>1292.8843331328474</v>
      </c>
      <c r="M399" s="306">
        <f t="shared" ca="1" si="190"/>
        <v>-1.3629149842403621</v>
      </c>
      <c r="N399" s="304">
        <f t="shared" ca="1" si="191"/>
        <v>-78.089276432111859</v>
      </c>
      <c r="P399" s="310">
        <f t="shared" ca="1" si="192"/>
        <v>23</v>
      </c>
      <c r="Q399" s="304">
        <f t="shared" ca="1" si="193"/>
        <v>0</v>
      </c>
      <c r="R399" s="306">
        <f t="shared" ca="1" si="194"/>
        <v>0</v>
      </c>
      <c r="S399" s="307">
        <f t="shared" ca="1" si="195"/>
        <v>2.9792999999999985</v>
      </c>
      <c r="T399" s="304">
        <f t="shared" ca="1" si="175"/>
        <v>29.226932999999988</v>
      </c>
      <c r="U399" s="311">
        <f t="shared" ca="1" si="176"/>
        <v>0</v>
      </c>
      <c r="V399" s="306">
        <f t="shared" ca="1" si="177"/>
        <v>1.0934104780830185</v>
      </c>
      <c r="W399" s="304">
        <f t="shared" ca="1" si="178"/>
        <v>12.698725676934275</v>
      </c>
      <c r="Y399" s="314" t="str">
        <f t="shared" ca="1" si="196"/>
        <v/>
      </c>
      <c r="Z399" s="315" t="str">
        <f t="shared" ca="1" si="197"/>
        <v/>
      </c>
      <c r="AA399" s="316" t="str">
        <f t="shared" ca="1" si="198"/>
        <v/>
      </c>
      <c r="AC399" s="310" t="e">
        <f t="shared" ca="1" si="199"/>
        <v>#N/A</v>
      </c>
      <c r="AD399" s="323" t="e">
        <f t="shared" ca="1" si="200"/>
        <v>#N/A</v>
      </c>
      <c r="AE399" s="324" t="e">
        <f t="shared" ca="1" si="179"/>
        <v>#N/A</v>
      </c>
      <c r="AG399" s="306">
        <f t="shared" ca="1" si="201"/>
        <v>5.3948994312300202</v>
      </c>
      <c r="AH399" s="304">
        <f t="shared" ca="1" si="202"/>
        <v>-4.198345928440907</v>
      </c>
    </row>
    <row r="400" spans="1:34" x14ac:dyDescent="0.2">
      <c r="A400" s="347">
        <f t="shared" ca="1" si="180"/>
        <v>0.1</v>
      </c>
      <c r="B400" s="304">
        <f t="shared" ca="1" si="181"/>
        <v>24.800000000000043</v>
      </c>
      <c r="D400" s="306">
        <f t="shared" ca="1" si="182"/>
        <v>-0.87968850848429569</v>
      </c>
      <c r="E400" s="307">
        <f t="shared" ca="1" si="183"/>
        <v>-5.6394475654212339</v>
      </c>
      <c r="F400" s="304">
        <f t="shared" ca="1" si="184"/>
        <v>5.7076458119871809</v>
      </c>
      <c r="G400" s="306">
        <f t="shared" ca="1" si="185"/>
        <v>15.455037848845066</v>
      </c>
      <c r="H400" s="307">
        <f t="shared" ca="1" si="186"/>
        <v>-74.252442226823732</v>
      </c>
      <c r="I400" s="304">
        <f t="shared" ca="1" si="187"/>
        <v>75.843809052268924</v>
      </c>
      <c r="J400" s="306">
        <f t="shared" ca="1" si="188"/>
        <v>620.37020138565913</v>
      </c>
      <c r="K400" s="307">
        <f t="shared" ca="1" si="189"/>
        <v>1127.7731324200142</v>
      </c>
      <c r="L400" s="304">
        <f t="shared" ca="1" si="174"/>
        <v>1287.1407945425917</v>
      </c>
      <c r="M400" s="306">
        <f t="shared" ca="1" si="190"/>
        <v>-1.3655844994580415</v>
      </c>
      <c r="N400" s="304">
        <f t="shared" ca="1" si="191"/>
        <v>-78.242228387430828</v>
      </c>
      <c r="P400" s="310">
        <f t="shared" ca="1" si="192"/>
        <v>23</v>
      </c>
      <c r="Q400" s="304">
        <f t="shared" ca="1" si="193"/>
        <v>0</v>
      </c>
      <c r="R400" s="306">
        <f t="shared" ca="1" si="194"/>
        <v>0</v>
      </c>
      <c r="S400" s="307">
        <f t="shared" ca="1" si="195"/>
        <v>2.9792999999999985</v>
      </c>
      <c r="T400" s="304">
        <f t="shared" ca="1" si="175"/>
        <v>29.226932999999988</v>
      </c>
      <c r="U400" s="311">
        <f t="shared" ca="1" si="176"/>
        <v>0</v>
      </c>
      <c r="V400" s="306">
        <f t="shared" ca="1" si="177"/>
        <v>1.0942221770315579</v>
      </c>
      <c r="W400" s="304">
        <f t="shared" ca="1" si="178"/>
        <v>12.888983101143225</v>
      </c>
      <c r="Y400" s="314" t="str">
        <f t="shared" ca="1" si="196"/>
        <v/>
      </c>
      <c r="Z400" s="315" t="str">
        <f t="shared" ca="1" si="197"/>
        <v/>
      </c>
      <c r="AA400" s="316" t="str">
        <f t="shared" ca="1" si="198"/>
        <v/>
      </c>
      <c r="AC400" s="310" t="e">
        <f t="shared" ca="1" si="199"/>
        <v>#N/A</v>
      </c>
      <c r="AD400" s="323" t="e">
        <f t="shared" ca="1" si="200"/>
        <v>#N/A</v>
      </c>
      <c r="AE400" s="324" t="e">
        <f t="shared" ca="1" si="179"/>
        <v>#N/A</v>
      </c>
      <c r="AG400" s="306">
        <f t="shared" ca="1" si="201"/>
        <v>5.3364758164819044</v>
      </c>
      <c r="AH400" s="304">
        <f t="shared" ca="1" si="202"/>
        <v>-4.2623185570215423</v>
      </c>
    </row>
    <row r="401" spans="1:34" x14ac:dyDescent="0.2">
      <c r="A401" s="347">
        <f t="shared" ca="1" si="180"/>
        <v>0.1</v>
      </c>
      <c r="B401" s="304">
        <f t="shared" ca="1" si="181"/>
        <v>24.900000000000045</v>
      </c>
      <c r="D401" s="306">
        <f t="shared" ca="1" si="182"/>
        <v>-0.88156503055217872</v>
      </c>
      <c r="E401" s="307">
        <f t="shared" ca="1" si="183"/>
        <v>-5.5745942287255295</v>
      </c>
      <c r="F401" s="304">
        <f t="shared" ca="1" si="184"/>
        <v>5.6438690379944543</v>
      </c>
      <c r="G401" s="306">
        <f t="shared" ca="1" si="185"/>
        <v>15.366881345789848</v>
      </c>
      <c r="H401" s="307">
        <f t="shared" ca="1" si="186"/>
        <v>-74.809901649696286</v>
      </c>
      <c r="I401" s="304">
        <f t="shared" ca="1" si="187"/>
        <v>76.37186934423444</v>
      </c>
      <c r="J401" s="306">
        <f t="shared" ca="1" si="188"/>
        <v>621.91129734539084</v>
      </c>
      <c r="K401" s="307">
        <f t="shared" ca="1" si="189"/>
        <v>1120.3200152261882</v>
      </c>
      <c r="L401" s="304">
        <f t="shared" ca="1" si="174"/>
        <v>1281.3627894871279</v>
      </c>
      <c r="M401" s="306">
        <f t="shared" ca="1" si="190"/>
        <v>-1.3682019954130549</v>
      </c>
      <c r="N401" s="304">
        <f t="shared" ca="1" si="191"/>
        <v>-78.392199858545666</v>
      </c>
      <c r="P401" s="310">
        <f t="shared" ca="1" si="192"/>
        <v>23</v>
      </c>
      <c r="Q401" s="304">
        <f t="shared" ca="1" si="193"/>
        <v>0</v>
      </c>
      <c r="R401" s="306">
        <f t="shared" ca="1" si="194"/>
        <v>0</v>
      </c>
      <c r="S401" s="307">
        <f t="shared" ca="1" si="195"/>
        <v>2.9792999999999985</v>
      </c>
      <c r="T401" s="304">
        <f t="shared" ca="1" si="175"/>
        <v>29.226932999999988</v>
      </c>
      <c r="U401" s="311">
        <f t="shared" ca="1" si="176"/>
        <v>0</v>
      </c>
      <c r="V401" s="306">
        <f t="shared" ca="1" si="177"/>
        <v>1.0950406037727944</v>
      </c>
      <c r="W401" s="304">
        <f t="shared" ca="1" si="178"/>
        <v>13.078861301721934</v>
      </c>
      <c r="Y401" s="314" t="str">
        <f t="shared" ca="1" si="196"/>
        <v/>
      </c>
      <c r="Z401" s="315" t="str">
        <f t="shared" ca="1" si="197"/>
        <v/>
      </c>
      <c r="AA401" s="316" t="str">
        <f t="shared" ca="1" si="198"/>
        <v/>
      </c>
      <c r="AC401" s="310" t="e">
        <f t="shared" ca="1" si="199"/>
        <v>#N/A</v>
      </c>
      <c r="AD401" s="323" t="e">
        <f t="shared" ca="1" si="200"/>
        <v>#N/A</v>
      </c>
      <c r="AE401" s="324" t="e">
        <f t="shared" ca="1" si="179"/>
        <v>#N/A</v>
      </c>
      <c r="AG401" s="306">
        <f t="shared" ca="1" si="201"/>
        <v>5.2779866939060316</v>
      </c>
      <c r="AH401" s="304">
        <f t="shared" ca="1" si="202"/>
        <v>-4.3261783308640389</v>
      </c>
    </row>
    <row r="402" spans="1:34" x14ac:dyDescent="0.2">
      <c r="A402" s="347">
        <f t="shared" ca="1" si="180"/>
        <v>0.1</v>
      </c>
      <c r="B402" s="304">
        <f t="shared" ca="1" si="181"/>
        <v>25.000000000000046</v>
      </c>
      <c r="D402" s="306">
        <f t="shared" ca="1" si="182"/>
        <v>-0.88329956103702378</v>
      </c>
      <c r="E402" s="307">
        <f t="shared" ca="1" si="183"/>
        <v>-5.5098722251145764</v>
      </c>
      <c r="F402" s="304">
        <f t="shared" ca="1" si="184"/>
        <v>5.5802249104867858</v>
      </c>
      <c r="G402" s="306">
        <f t="shared" ca="1" si="185"/>
        <v>15.278551389686145</v>
      </c>
      <c r="H402" s="307">
        <f t="shared" ca="1" si="186"/>
        <v>-75.360888872207738</v>
      </c>
      <c r="I402" s="304">
        <f t="shared" ca="1" si="187"/>
        <v>76.894068068847318</v>
      </c>
      <c r="J402" s="306">
        <f t="shared" ca="1" si="188"/>
        <v>623.44356898216461</v>
      </c>
      <c r="K402" s="307">
        <f t="shared" ca="1" si="189"/>
        <v>1112.8114757000931</v>
      </c>
      <c r="L402" s="304">
        <f t="shared" ca="1" si="174"/>
        <v>1275.5513569257171</v>
      </c>
      <c r="M402" s="306">
        <f t="shared" ca="1" si="190"/>
        <v>-1.3707690137062312</v>
      </c>
      <c r="N402" s="304">
        <f t="shared" ca="1" si="191"/>
        <v>-78.539279172677539</v>
      </c>
      <c r="P402" s="310">
        <f t="shared" ca="1" si="192"/>
        <v>23</v>
      </c>
      <c r="Q402" s="304">
        <f t="shared" ca="1" si="193"/>
        <v>0</v>
      </c>
      <c r="R402" s="306">
        <f t="shared" ca="1" si="194"/>
        <v>0</v>
      </c>
      <c r="S402" s="307">
        <f t="shared" ca="1" si="195"/>
        <v>2.9792999999999985</v>
      </c>
      <c r="T402" s="304">
        <f t="shared" ca="1" si="175"/>
        <v>29.226932999999988</v>
      </c>
      <c r="U402" s="311">
        <f t="shared" ca="1" si="176"/>
        <v>0</v>
      </c>
      <c r="V402" s="306">
        <f t="shared" ca="1" si="177"/>
        <v>1.0958657007332642</v>
      </c>
      <c r="W402" s="304">
        <f t="shared" ca="1" si="178"/>
        <v>13.268318232707481</v>
      </c>
      <c r="Y402" s="314" t="str">
        <f t="shared" ca="1" si="196"/>
        <v/>
      </c>
      <c r="Z402" s="315" t="str">
        <f t="shared" ca="1" si="197"/>
        <v/>
      </c>
      <c r="AA402" s="316" t="str">
        <f t="shared" ca="1" si="198"/>
        <v/>
      </c>
      <c r="AC402" s="310">
        <f t="shared" ca="1" si="199"/>
        <v>25.000000000000046</v>
      </c>
      <c r="AD402" s="323">
        <f t="shared" ca="1" si="200"/>
        <v>623.44356898216461</v>
      </c>
      <c r="AE402" s="324" t="e">
        <f t="shared" ca="1" si="179"/>
        <v>#N/A</v>
      </c>
      <c r="AG402" s="306">
        <f t="shared" ca="1" si="201"/>
        <v>5.2194537483331045</v>
      </c>
      <c r="AH402" s="304">
        <f t="shared" ca="1" si="202"/>
        <v>-4.3899108185553457</v>
      </c>
    </row>
    <row r="403" spans="1:34" x14ac:dyDescent="0.2">
      <c r="A403" s="347">
        <f t="shared" ca="1" si="180"/>
        <v>0.1</v>
      </c>
      <c r="B403" s="304">
        <f t="shared" ca="1" si="181"/>
        <v>25.100000000000048</v>
      </c>
      <c r="D403" s="306">
        <f t="shared" ca="1" si="182"/>
        <v>-0.88489345752010051</v>
      </c>
      <c r="E403" s="307">
        <f t="shared" ca="1" si="183"/>
        <v>-5.4452957937535267</v>
      </c>
      <c r="F403" s="304">
        <f t="shared" ca="1" si="184"/>
        <v>5.5167275365593076</v>
      </c>
      <c r="G403" s="306">
        <f t="shared" ca="1" si="185"/>
        <v>15.190062043934136</v>
      </c>
      <c r="H403" s="307">
        <f t="shared" ca="1" si="186"/>
        <v>-75.905418451583088</v>
      </c>
      <c r="I403" s="304">
        <f t="shared" ca="1" si="187"/>
        <v>77.410403275066969</v>
      </c>
      <c r="J403" s="306">
        <f t="shared" ca="1" si="188"/>
        <v>624.96699965384562</v>
      </c>
      <c r="K403" s="307">
        <f t="shared" ca="1" si="189"/>
        <v>1105.2481603339036</v>
      </c>
      <c r="L403" s="304">
        <f t="shared" ca="1" si="174"/>
        <v>1269.7075437193432</v>
      </c>
      <c r="M403" s="306">
        <f t="shared" ca="1" si="190"/>
        <v>-1.3732870354605724</v>
      </c>
      <c r="N403" s="304">
        <f t="shared" ca="1" si="191"/>
        <v>-78.683551191923428</v>
      </c>
      <c r="P403" s="310">
        <f t="shared" ca="1" si="192"/>
        <v>23</v>
      </c>
      <c r="Q403" s="304">
        <f t="shared" ca="1" si="193"/>
        <v>0</v>
      </c>
      <c r="R403" s="306">
        <f t="shared" ca="1" si="194"/>
        <v>0</v>
      </c>
      <c r="S403" s="307">
        <f t="shared" ca="1" si="195"/>
        <v>2.9792999999999985</v>
      </c>
      <c r="T403" s="304">
        <f t="shared" ca="1" si="175"/>
        <v>29.226932999999988</v>
      </c>
      <c r="U403" s="311">
        <f t="shared" ca="1" si="176"/>
        <v>0</v>
      </c>
      <c r="V403" s="306">
        <f t="shared" ca="1" si="177"/>
        <v>1.0966974104143761</v>
      </c>
      <c r="W403" s="304">
        <f t="shared" ca="1" si="178"/>
        <v>13.457312803260246</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5.1608979859009159</v>
      </c>
      <c r="AH403" s="304">
        <f t="shared" ca="1" si="202"/>
        <v>-4.4535019073968671</v>
      </c>
    </row>
    <row r="404" spans="1:34" x14ac:dyDescent="0.2">
      <c r="A404" s="347">
        <f t="shared" ca="1" si="180"/>
        <v>0.1</v>
      </c>
      <c r="B404" s="304">
        <f t="shared" ca="1" si="181"/>
        <v>25.200000000000049</v>
      </c>
      <c r="D404" s="306">
        <f t="shared" ca="1" si="182"/>
        <v>-0.88634812128463569</v>
      </c>
      <c r="E404" s="307">
        <f t="shared" ca="1" si="183"/>
        <v>-5.380878851890456</v>
      </c>
      <c r="F404" s="304">
        <f t="shared" ca="1" si="184"/>
        <v>5.4533907076998211</v>
      </c>
      <c r="G404" s="306">
        <f t="shared" ca="1" si="185"/>
        <v>15.101427231805673</v>
      </c>
      <c r="H404" s="307">
        <f t="shared" ca="1" si="186"/>
        <v>-76.443506336772131</v>
      </c>
      <c r="I404" s="304">
        <f t="shared" ca="1" si="187"/>
        <v>77.920875030364243</v>
      </c>
      <c r="J404" s="306">
        <f t="shared" ca="1" si="188"/>
        <v>626.48157411763259</v>
      </c>
      <c r="K404" s="307">
        <f t="shared" ca="1" si="189"/>
        <v>1097.6307140944857</v>
      </c>
      <c r="L404" s="304">
        <f t="shared" ca="1" si="174"/>
        <v>1263.8324047248027</v>
      </c>
      <c r="M404" s="306">
        <f t="shared" ca="1" si="190"/>
        <v>-1.3757574841948772</v>
      </c>
      <c r="N404" s="304">
        <f t="shared" ca="1" si="191"/>
        <v>-78.825097477902517</v>
      </c>
      <c r="P404" s="310">
        <f t="shared" ca="1" si="192"/>
        <v>23</v>
      </c>
      <c r="Q404" s="304">
        <f t="shared" ca="1" si="193"/>
        <v>0</v>
      </c>
      <c r="R404" s="306">
        <f t="shared" ca="1" si="194"/>
        <v>0</v>
      </c>
      <c r="S404" s="307">
        <f t="shared" ca="1" si="195"/>
        <v>2.9792999999999985</v>
      </c>
      <c r="T404" s="304">
        <f t="shared" ca="1" si="175"/>
        <v>29.226932999999988</v>
      </c>
      <c r="U404" s="311">
        <f t="shared" ca="1" si="176"/>
        <v>0</v>
      </c>
      <c r="V404" s="306">
        <f t="shared" ca="1" si="177"/>
        <v>1.0975356754047769</v>
      </c>
      <c r="W404" s="304">
        <f t="shared" ca="1" si="178"/>
        <v>13.645804882288187</v>
      </c>
      <c r="Y404" s="314" t="str">
        <f t="shared" ca="1" si="196"/>
        <v/>
      </c>
      <c r="Z404" s="315" t="str">
        <f t="shared" ca="1" si="197"/>
        <v/>
      </c>
      <c r="AA404" s="316" t="str">
        <f t="shared" ca="1" si="198"/>
        <v/>
      </c>
      <c r="AC404" s="310" t="e">
        <f t="shared" ca="1" si="199"/>
        <v>#N/A</v>
      </c>
      <c r="AD404" s="323" t="e">
        <f t="shared" ca="1" si="200"/>
        <v>#N/A</v>
      </c>
      <c r="AE404" s="324" t="e">
        <f t="shared" ca="1" si="179"/>
        <v>#N/A</v>
      </c>
      <c r="AG404" s="306">
        <f t="shared" ca="1" si="201"/>
        <v>5.1023397531168504</v>
      </c>
      <c r="AH404" s="304">
        <f t="shared" ca="1" si="202"/>
        <v>-4.5169378052764921</v>
      </c>
    </row>
    <row r="405" spans="1:34" x14ac:dyDescent="0.2">
      <c r="A405" s="347">
        <f t="shared" ca="1" si="180"/>
        <v>0.1</v>
      </c>
      <c r="B405" s="304">
        <f t="shared" ca="1" si="181"/>
        <v>25.30000000000005</v>
      </c>
      <c r="D405" s="306">
        <f t="shared" ca="1" si="182"/>
        <v>-0.88766499509781438</v>
      </c>
      <c r="E405" s="307">
        <f t="shared" ca="1" si="183"/>
        <v>-5.3166349930968089</v>
      </c>
      <c r="F405" s="304">
        <f t="shared" ca="1" si="184"/>
        <v>5.3902278980896075</v>
      </c>
      <c r="G405" s="306">
        <f t="shared" ca="1" si="185"/>
        <v>15.012660732295892</v>
      </c>
      <c r="H405" s="307">
        <f t="shared" ca="1" si="186"/>
        <v>-76.975169836081818</v>
      </c>
      <c r="I405" s="304">
        <f t="shared" ca="1" si="187"/>
        <v>78.425485357482231</v>
      </c>
      <c r="J405" s="306">
        <f t="shared" ca="1" si="188"/>
        <v>627.98727851583772</v>
      </c>
      <c r="K405" s="307">
        <f t="shared" ca="1" si="189"/>
        <v>1089.959780285843</v>
      </c>
      <c r="L405" s="304">
        <f t="shared" ca="1" si="174"/>
        <v>1257.9270028974222</v>
      </c>
      <c r="M405" s="306">
        <f t="shared" ca="1" si="190"/>
        <v>-1.3781817285388129</v>
      </c>
      <c r="N405" s="304">
        <f t="shared" ca="1" si="191"/>
        <v>-78.963996447318507</v>
      </c>
      <c r="P405" s="310">
        <f t="shared" ca="1" si="192"/>
        <v>23</v>
      </c>
      <c r="Q405" s="304">
        <f t="shared" ca="1" si="193"/>
        <v>0</v>
      </c>
      <c r="R405" s="306">
        <f t="shared" ca="1" si="194"/>
        <v>0</v>
      </c>
      <c r="S405" s="307">
        <f t="shared" ca="1" si="195"/>
        <v>2.9792999999999985</v>
      </c>
      <c r="T405" s="304">
        <f t="shared" ca="1" si="175"/>
        <v>29.226932999999988</v>
      </c>
      <c r="U405" s="311">
        <f t="shared" ca="1" si="176"/>
        <v>0</v>
      </c>
      <c r="V405" s="306">
        <f t="shared" ca="1" si="177"/>
        <v>1.098380438392466</v>
      </c>
      <c r="W405" s="304">
        <f t="shared" ca="1" si="178"/>
        <v>13.833755302139616</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5.0437987548555947</v>
      </c>
      <c r="AH405" s="304">
        <f t="shared" ca="1" si="202"/>
        <v>-4.5802050422207214</v>
      </c>
    </row>
    <row r="406" spans="1:34" x14ac:dyDescent="0.2">
      <c r="A406" s="347">
        <f t="shared" ca="1" si="180"/>
        <v>0.1</v>
      </c>
      <c r="B406" s="304">
        <f t="shared" ca="1" si="181"/>
        <v>25.400000000000052</v>
      </c>
      <c r="D406" s="306">
        <f t="shared" ca="1" si="182"/>
        <v>-0.88884556103668566</v>
      </c>
      <c r="E406" s="307">
        <f t="shared" ca="1" si="183"/>
        <v>-5.2525774858376515</v>
      </c>
      <c r="F406" s="304">
        <f t="shared" ca="1" si="184"/>
        <v>5.3272522632313182</v>
      </c>
      <c r="G406" s="306">
        <f t="shared" ca="1" si="185"/>
        <v>14.923776176192224</v>
      </c>
      <c r="H406" s="307">
        <f t="shared" ca="1" si="186"/>
        <v>-77.500427584665587</v>
      </c>
      <c r="I406" s="304">
        <f t="shared" ca="1" si="187"/>
        <v>78.924238172839381</v>
      </c>
      <c r="J406" s="306">
        <f t="shared" ca="1" si="188"/>
        <v>629.48410036126211</v>
      </c>
      <c r="K406" s="307">
        <f t="shared" ca="1" si="189"/>
        <v>1082.2360004148056</v>
      </c>
      <c r="L406" s="304">
        <f t="shared" ca="1" si="174"/>
        <v>1251.9924094024943</v>
      </c>
      <c r="M406" s="306">
        <f t="shared" ca="1" si="190"/>
        <v>-1.3805610847993095</v>
      </c>
      <c r="N406" s="304">
        <f t="shared" ca="1" si="191"/>
        <v>-79.100323519002984</v>
      </c>
      <c r="P406" s="310">
        <f t="shared" ca="1" si="192"/>
        <v>23</v>
      </c>
      <c r="Q406" s="304">
        <f t="shared" ca="1" si="193"/>
        <v>0</v>
      </c>
      <c r="R406" s="306">
        <f t="shared" ca="1" si="194"/>
        <v>0</v>
      </c>
      <c r="S406" s="307">
        <f t="shared" ca="1" si="195"/>
        <v>2.9792999999999985</v>
      </c>
      <c r="T406" s="304">
        <f t="shared" ca="1" si="175"/>
        <v>29.226932999999988</v>
      </c>
      <c r="U406" s="311">
        <f t="shared" ca="1" si="176"/>
        <v>0</v>
      </c>
      <c r="V406" s="306">
        <f t="shared" ca="1" si="177"/>
        <v>1.0992316421766597</v>
      </c>
      <c r="W406" s="304">
        <f t="shared" ca="1" si="178"/>
        <v>14.021125861386468</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4.9852940713867175</v>
      </c>
      <c r="AH406" s="304">
        <f t="shared" ca="1" si="202"/>
        <v>-4.6432904716341499</v>
      </c>
    </row>
    <row r="407" spans="1:34" x14ac:dyDescent="0.2">
      <c r="A407" s="347">
        <f t="shared" ca="1" si="180"/>
        <v>0.1</v>
      </c>
      <c r="B407" s="304">
        <f t="shared" ca="1" si="181"/>
        <v>25.500000000000053</v>
      </c>
      <c r="D407" s="306">
        <f t="shared" ca="1" si="182"/>
        <v>-0.8898913383575624</v>
      </c>
      <c r="E407" s="307">
        <f t="shared" ca="1" si="183"/>
        <v>-5.1887192723632607</v>
      </c>
      <c r="F407" s="304">
        <f t="shared" ca="1" si="184"/>
        <v>5.2644766388956219</v>
      </c>
      <c r="G407" s="306">
        <f t="shared" ca="1" si="185"/>
        <v>14.834787042356467</v>
      </c>
      <c r="H407" s="307">
        <f t="shared" ca="1" si="186"/>
        <v>-78.01929951190192</v>
      </c>
      <c r="I407" s="304">
        <f t="shared" ca="1" si="187"/>
        <v>79.417139226491443</v>
      </c>
      <c r="J407" s="306">
        <f t="shared" ca="1" si="188"/>
        <v>630.97202852218959</v>
      </c>
      <c r="K407" s="307">
        <f t="shared" ca="1" si="189"/>
        <v>1074.4600140599773</v>
      </c>
      <c r="L407" s="304">
        <f t="shared" ca="1" si="174"/>
        <v>1246.0297037354983</v>
      </c>
      <c r="M407" s="306">
        <f t="shared" ca="1" si="190"/>
        <v>-1.3828968193874644</v>
      </c>
      <c r="N407" s="304">
        <f t="shared" ca="1" si="191"/>
        <v>-79.234151252966996</v>
      </c>
      <c r="P407" s="310">
        <f t="shared" ca="1" si="192"/>
        <v>23</v>
      </c>
      <c r="Q407" s="304">
        <f t="shared" ca="1" si="193"/>
        <v>0</v>
      </c>
      <c r="R407" s="306">
        <f t="shared" ca="1" si="194"/>
        <v>0</v>
      </c>
      <c r="S407" s="307">
        <f t="shared" ca="1" si="195"/>
        <v>2.9792999999999985</v>
      </c>
      <c r="T407" s="304">
        <f t="shared" ca="1" si="175"/>
        <v>29.226932999999988</v>
      </c>
      <c r="U407" s="311">
        <f t="shared" ca="1" si="176"/>
        <v>0</v>
      </c>
      <c r="V407" s="306">
        <f t="shared" ca="1" si="177"/>
        <v>1.1000892296793987</v>
      </c>
      <c r="W407" s="304">
        <f t="shared" ca="1" si="178"/>
        <v>14.207879326720871</v>
      </c>
      <c r="Y407" s="314" t="str">
        <f t="shared" ca="1" si="196"/>
        <v/>
      </c>
      <c r="Z407" s="315" t="str">
        <f t="shared" ca="1" si="197"/>
        <v/>
      </c>
      <c r="AA407" s="316" t="str">
        <f t="shared" ca="1" si="198"/>
        <v/>
      </c>
      <c r="AC407" s="310" t="e">
        <f t="shared" ca="1" si="199"/>
        <v>#N/A</v>
      </c>
      <c r="AD407" s="323" t="e">
        <f t="shared" ca="1" si="200"/>
        <v>#N/A</v>
      </c>
      <c r="AE407" s="324" t="e">
        <f t="shared" ca="1" si="179"/>
        <v>#N/A</v>
      </c>
      <c r="AG407" s="306">
        <f t="shared" ca="1" si="201"/>
        <v>4.9268441745185383</v>
      </c>
      <c r="AH407" s="304">
        <f t="shared" ca="1" si="202"/>
        <v>-4.7061812712336701</v>
      </c>
    </row>
    <row r="408" spans="1:34" x14ac:dyDescent="0.2">
      <c r="A408" s="347">
        <f t="shared" ca="1" si="180"/>
        <v>0.1</v>
      </c>
      <c r="B408" s="304">
        <f t="shared" ca="1" si="181"/>
        <v>25.600000000000055</v>
      </c>
      <c r="D408" s="306">
        <f t="shared" ca="1" si="182"/>
        <v>-0.89080388140861622</v>
      </c>
      <c r="E408" s="307">
        <f t="shared" ca="1" si="183"/>
        <v>-5.125072967913419</v>
      </c>
      <c r="F408" s="304">
        <f t="shared" ca="1" si="184"/>
        <v>5.2019135403781478</v>
      </c>
      <c r="G408" s="306">
        <f t="shared" ca="1" si="185"/>
        <v>14.745706654215606</v>
      </c>
      <c r="H408" s="307">
        <f t="shared" ca="1" si="186"/>
        <v>-78.531806808693261</v>
      </c>
      <c r="I408" s="304">
        <f t="shared" ca="1" si="187"/>
        <v>79.904196043575212</v>
      </c>
      <c r="J408" s="306">
        <f t="shared" ca="1" si="188"/>
        <v>632.45105320701816</v>
      </c>
      <c r="K408" s="307">
        <f t="shared" ca="1" si="189"/>
        <v>1066.6324587439476</v>
      </c>
      <c r="L408" s="304">
        <f t="shared" ca="1" si="174"/>
        <v>1240.0399738511762</v>
      </c>
      <c r="M408" s="306">
        <f t="shared" ca="1" si="190"/>
        <v>-1.3851901511145248</v>
      </c>
      <c r="N408" s="304">
        <f t="shared" ca="1" si="191"/>
        <v>-79.365549481950993</v>
      </c>
      <c r="P408" s="310">
        <f t="shared" ca="1" si="192"/>
        <v>23</v>
      </c>
      <c r="Q408" s="304">
        <f t="shared" ca="1" si="193"/>
        <v>0</v>
      </c>
      <c r="R408" s="306">
        <f t="shared" ca="1" si="194"/>
        <v>0</v>
      </c>
      <c r="S408" s="307">
        <f t="shared" ca="1" si="195"/>
        <v>2.9792999999999985</v>
      </c>
      <c r="T408" s="304">
        <f t="shared" ca="1" si="175"/>
        <v>29.226932999999988</v>
      </c>
      <c r="U408" s="311">
        <f t="shared" ca="1" si="176"/>
        <v>0</v>
      </c>
      <c r="V408" s="306">
        <f t="shared" ca="1" si="177"/>
        <v>1.1009531439569018</v>
      </c>
      <c r="W408" s="304">
        <f t="shared" ca="1" si="178"/>
        <v>14.393979433988175</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4.868466942936859</v>
      </c>
      <c r="AH408" s="304">
        <f t="shared" ca="1" si="202"/>
        <v>-4.7688649436850525</v>
      </c>
    </row>
    <row r="409" spans="1:34" x14ac:dyDescent="0.2">
      <c r="A409" s="347">
        <f t="shared" ca="1" si="180"/>
        <v>0.1</v>
      </c>
      <c r="B409" s="304">
        <f t="shared" ca="1" si="181"/>
        <v>25.700000000000056</v>
      </c>
      <c r="D409" s="306">
        <f t="shared" ca="1" si="182"/>
        <v>-0.89158477758540744</v>
      </c>
      <c r="E409" s="307">
        <f t="shared" ca="1" si="183"/>
        <v>-5.0616508602256891</v>
      </c>
      <c r="F409" s="304">
        <f t="shared" ca="1" si="184"/>
        <v>5.1395751620581906</v>
      </c>
      <c r="G409" s="306">
        <f t="shared" ca="1" si="185"/>
        <v>14.656548176457065</v>
      </c>
      <c r="H409" s="307">
        <f t="shared" ca="1" si="186"/>
        <v>-79.037971894715824</v>
      </c>
      <c r="I409" s="304">
        <f t="shared" ca="1" si="187"/>
        <v>80.38541786716479</v>
      </c>
      <c r="J409" s="306">
        <f t="shared" ca="1" si="188"/>
        <v>633.92116594855179</v>
      </c>
      <c r="K409" s="307">
        <f t="shared" ca="1" si="189"/>
        <v>1058.7539698087771</v>
      </c>
      <c r="L409" s="304">
        <f t="shared" ca="1" si="174"/>
        <v>1234.0243163015127</v>
      </c>
      <c r="M409" s="306">
        <f t="shared" ca="1" si="190"/>
        <v>-1.3874422533649271</v>
      </c>
      <c r="N409" s="304">
        <f t="shared" ca="1" si="191"/>
        <v>-79.494585435930958</v>
      </c>
      <c r="P409" s="310">
        <f t="shared" ca="1" si="192"/>
        <v>23</v>
      </c>
      <c r="Q409" s="304">
        <f t="shared" ca="1" si="193"/>
        <v>0</v>
      </c>
      <c r="R409" s="306">
        <f t="shared" ca="1" si="194"/>
        <v>0</v>
      </c>
      <c r="S409" s="307">
        <f t="shared" ca="1" si="195"/>
        <v>2.9792999999999985</v>
      </c>
      <c r="T409" s="304">
        <f t="shared" ca="1" si="175"/>
        <v>29.226932999999988</v>
      </c>
      <c r="U409" s="311">
        <f t="shared" ca="1" si="176"/>
        <v>0</v>
      </c>
      <c r="V409" s="306">
        <f t="shared" ca="1" si="177"/>
        <v>1.1018233282106644</v>
      </c>
      <c r="W409" s="304">
        <f t="shared" ca="1" si="178"/>
        <v>14.579390888380297</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4.8101796768101748</v>
      </c>
      <c r="AH409" s="304">
        <f t="shared" ca="1" si="202"/>
        <v>-4.83132931694968</v>
      </c>
    </row>
    <row r="410" spans="1:34" x14ac:dyDescent="0.2">
      <c r="A410" s="347">
        <f t="shared" ca="1" si="180"/>
        <v>0.1</v>
      </c>
      <c r="B410" s="304">
        <f t="shared" ca="1" si="181"/>
        <v>25.800000000000058</v>
      </c>
      <c r="D410" s="306">
        <f t="shared" ca="1" si="182"/>
        <v>-0.89223564532915411</v>
      </c>
      <c r="E410" s="307">
        <f t="shared" ca="1" si="183"/>
        <v>-4.9984649093388205</v>
      </c>
      <c r="F410" s="304">
        <f t="shared" ca="1" si="184"/>
        <v>5.0774733772504881</v>
      </c>
      <c r="G410" s="306">
        <f t="shared" ca="1" si="185"/>
        <v>14.56732461192415</v>
      </c>
      <c r="H410" s="307">
        <f t="shared" ca="1" si="186"/>
        <v>-79.5378183856497</v>
      </c>
      <c r="I410" s="304">
        <f t="shared" ca="1" si="187"/>
        <v>80.860815602476862</v>
      </c>
      <c r="J410" s="306">
        <f t="shared" ca="1" si="188"/>
        <v>635.38235958797088</v>
      </c>
      <c r="K410" s="307">
        <f t="shared" ca="1" si="189"/>
        <v>1050.8251802947589</v>
      </c>
      <c r="L410" s="304">
        <f t="shared" ca="1" si="174"/>
        <v>1227.9838363826659</v>
      </c>
      <c r="M410" s="306">
        <f t="shared" ca="1" si="190"/>
        <v>-1.3896542561538501</v>
      </c>
      <c r="N410" s="304">
        <f t="shared" ca="1" si="191"/>
        <v>-79.621323860007422</v>
      </c>
      <c r="P410" s="310">
        <f t="shared" ca="1" si="192"/>
        <v>23</v>
      </c>
      <c r="Q410" s="304">
        <f t="shared" ca="1" si="193"/>
        <v>0</v>
      </c>
      <c r="R410" s="306">
        <f t="shared" ca="1" si="194"/>
        <v>0</v>
      </c>
      <c r="S410" s="307">
        <f t="shared" ca="1" si="195"/>
        <v>2.9792999999999985</v>
      </c>
      <c r="T410" s="304">
        <f t="shared" ca="1" si="175"/>
        <v>29.226932999999988</v>
      </c>
      <c r="U410" s="311">
        <f t="shared" ca="1" si="176"/>
        <v>0</v>
      </c>
      <c r="V410" s="306">
        <f t="shared" ca="1" si="177"/>
        <v>1.1026997257982973</v>
      </c>
      <c r="W410" s="304">
        <f t="shared" ca="1" si="178"/>
        <v>14.764079363813488</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4.7519991117264437</v>
      </c>
      <c r="AH410" s="304">
        <f t="shared" ca="1" si="202"/>
        <v>-4.8935625443494457</v>
      </c>
    </row>
    <row r="411" spans="1:34" x14ac:dyDescent="0.2">
      <c r="A411" s="347">
        <f t="shared" ca="1" si="180"/>
        <v>0.1</v>
      </c>
      <c r="B411" s="304">
        <f t="shared" ca="1" si="181"/>
        <v>25.900000000000059</v>
      </c>
      <c r="D411" s="306">
        <f t="shared" ca="1" si="182"/>
        <v>-0.89275813216752542</v>
      </c>
      <c r="E411" s="307">
        <f t="shared" ca="1" si="183"/>
        <v>-4.9355267476823741</v>
      </c>
      <c r="F411" s="304">
        <f t="shared" ca="1" si="184"/>
        <v>5.0156197383413552</v>
      </c>
      <c r="G411" s="306">
        <f t="shared" ca="1" si="185"/>
        <v>14.478048798707396</v>
      </c>
      <c r="H411" s="307">
        <f t="shared" ca="1" si="186"/>
        <v>-80.031371060417939</v>
      </c>
      <c r="I411" s="304">
        <f t="shared" ca="1" si="187"/>
        <v>81.33040176236716</v>
      </c>
      <c r="J411" s="306">
        <f t="shared" ca="1" si="188"/>
        <v>636.83462825850245</v>
      </c>
      <c r="K411" s="307">
        <f t="shared" ca="1" si="189"/>
        <v>1042.8467208224554</v>
      </c>
      <c r="L411" s="304">
        <f t="shared" ca="1" si="174"/>
        <v>1221.919648290874</v>
      </c>
      <c r="M411" s="306">
        <f t="shared" ca="1" si="190"/>
        <v>-1.391827248076219</v>
      </c>
      <c r="N411" s="304">
        <f t="shared" ca="1" si="191"/>
        <v>-79.745827126075184</v>
      </c>
      <c r="P411" s="310">
        <f t="shared" ca="1" si="192"/>
        <v>23</v>
      </c>
      <c r="Q411" s="304">
        <f t="shared" ca="1" si="193"/>
        <v>0</v>
      </c>
      <c r="R411" s="306">
        <f t="shared" ca="1" si="194"/>
        <v>0</v>
      </c>
      <c r="S411" s="307">
        <f t="shared" ca="1" si="195"/>
        <v>2.9792999999999985</v>
      </c>
      <c r="T411" s="304">
        <f t="shared" ca="1" si="175"/>
        <v>29.226932999999988</v>
      </c>
      <c r="U411" s="311">
        <f t="shared" ca="1" si="176"/>
        <v>0</v>
      </c>
      <c r="V411" s="306">
        <f t="shared" ca="1" si="177"/>
        <v>1.103582280244108</v>
      </c>
      <c r="W411" s="304">
        <f t="shared" ca="1" si="178"/>
        <v>14.948011501515083</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4.6939414320207673</v>
      </c>
      <c r="AH411" s="304">
        <f t="shared" ca="1" si="202"/>
        <v>-4.9555531043579011</v>
      </c>
    </row>
    <row r="412" spans="1:34" x14ac:dyDescent="0.2">
      <c r="A412" s="347">
        <f t="shared" ca="1" si="180"/>
        <v>0.1</v>
      </c>
      <c r="B412" s="304">
        <f t="shared" ca="1" si="181"/>
        <v>26.00000000000006</v>
      </c>
      <c r="D412" s="306">
        <f t="shared" ca="1" si="182"/>
        <v>-0.89315391279785339</v>
      </c>
      <c r="E412" s="307">
        <f t="shared" ca="1" si="183"/>
        <v>-4.8728476804435878</v>
      </c>
      <c r="F412" s="304">
        <f t="shared" ca="1" si="184"/>
        <v>4.9540254772003918</v>
      </c>
      <c r="G412" s="306">
        <f t="shared" ca="1" si="185"/>
        <v>14.388733407427612</v>
      </c>
      <c r="H412" s="307">
        <f t="shared" ca="1" si="186"/>
        <v>-80.5186558284623</v>
      </c>
      <c r="I412" s="304">
        <f t="shared" ca="1" si="187"/>
        <v>81.794190414065412</v>
      </c>
      <c r="J412" s="306">
        <f t="shared" ca="1" si="188"/>
        <v>638.27796736880919</v>
      </c>
      <c r="K412" s="307">
        <f t="shared" ca="1" si="189"/>
        <v>1034.8192194780113</v>
      </c>
      <c r="L412" s="304">
        <f t="shared" ca="1" si="174"/>
        <v>1215.8328752873642</v>
      </c>
      <c r="M412" s="306">
        <f t="shared" ca="1" si="190"/>
        <v>-1.3939622781536576</v>
      </c>
      <c r="N412" s="304">
        <f t="shared" ca="1" si="191"/>
        <v>-79.868155338645892</v>
      </c>
      <c r="P412" s="310">
        <f t="shared" ca="1" si="192"/>
        <v>23</v>
      </c>
      <c r="Q412" s="304">
        <f t="shared" ca="1" si="193"/>
        <v>0</v>
      </c>
      <c r="R412" s="306">
        <f t="shared" ca="1" si="194"/>
        <v>0</v>
      </c>
      <c r="S412" s="307">
        <f t="shared" ca="1" si="195"/>
        <v>2.9792999999999985</v>
      </c>
      <c r="T412" s="304">
        <f t="shared" ca="1" si="175"/>
        <v>29.226932999999988</v>
      </c>
      <c r="U412" s="311">
        <f t="shared" ca="1" si="176"/>
        <v>0</v>
      </c>
      <c r="V412" s="306">
        <f t="shared" ca="1" si="177"/>
        <v>1.1044709352494237</v>
      </c>
      <c r="W412" s="304">
        <f t="shared" ca="1" si="178"/>
        <v>15.13115490784406</v>
      </c>
      <c r="Y412" s="314" t="str">
        <f t="shared" ca="1" si="196"/>
        <v/>
      </c>
      <c r="Z412" s="315" t="str">
        <f t="shared" ca="1" si="197"/>
        <v/>
      </c>
      <c r="AA412" s="316" t="str">
        <f t="shared" ca="1" si="198"/>
        <v/>
      </c>
      <c r="AC412" s="310">
        <f t="shared" ca="1" si="199"/>
        <v>26.00000000000006</v>
      </c>
      <c r="AD412" s="323">
        <f t="shared" ca="1" si="200"/>
        <v>638.27796736880919</v>
      </c>
      <c r="AE412" s="324" t="e">
        <f t="shared" ca="1" si="179"/>
        <v>#N/A</v>
      </c>
      <c r="AG412" s="306">
        <f t="shared" ca="1" si="201"/>
        <v>4.6360222835478551</v>
      </c>
      <c r="AH412" s="304">
        <f t="shared" ca="1" si="202"/>
        <v>-5.0172898001258988</v>
      </c>
    </row>
    <row r="413" spans="1:34" x14ac:dyDescent="0.2">
      <c r="A413" s="347">
        <f t="shared" ca="1" si="180"/>
        <v>0.1</v>
      </c>
      <c r="B413" s="304">
        <f t="shared" ca="1" si="181"/>
        <v>26.100000000000062</v>
      </c>
      <c r="D413" s="306">
        <f t="shared" ca="1" si="182"/>
        <v>-0.8934246872125835</v>
      </c>
      <c r="E413" s="307">
        <f t="shared" ca="1" si="183"/>
        <v>-4.8104386862024437</v>
      </c>
      <c r="F413" s="304">
        <f t="shared" ca="1" si="184"/>
        <v>4.8927015058589047</v>
      </c>
      <c r="G413" s="306">
        <f t="shared" ca="1" si="185"/>
        <v>14.299390938706354</v>
      </c>
      <c r="H413" s="307">
        <f t="shared" ca="1" si="186"/>
        <v>-80.999699697082548</v>
      </c>
      <c r="I413" s="304">
        <f t="shared" ca="1" si="187"/>
        <v>82.252197127101184</v>
      </c>
      <c r="J413" s="306">
        <f t="shared" ca="1" si="188"/>
        <v>639.71237358611586</v>
      </c>
      <c r="K413" s="307">
        <f t="shared" ca="1" si="189"/>
        <v>1026.743301701734</v>
      </c>
      <c r="L413" s="304">
        <f t="shared" ca="1" si="174"/>
        <v>1209.7246498722593</v>
      </c>
      <c r="M413" s="306">
        <f t="shared" ca="1" si="190"/>
        <v>-1.3960603575854358</v>
      </c>
      <c r="N413" s="304">
        <f t="shared" ca="1" si="191"/>
        <v>-79.988366435169993</v>
      </c>
      <c r="P413" s="310">
        <f t="shared" ca="1" si="192"/>
        <v>23</v>
      </c>
      <c r="Q413" s="304">
        <f t="shared" ca="1" si="193"/>
        <v>0</v>
      </c>
      <c r="R413" s="306">
        <f t="shared" ca="1" si="194"/>
        <v>0</v>
      </c>
      <c r="S413" s="307">
        <f t="shared" ca="1" si="195"/>
        <v>2.9792999999999985</v>
      </c>
      <c r="T413" s="304">
        <f t="shared" ca="1" si="175"/>
        <v>29.226932999999988</v>
      </c>
      <c r="U413" s="311">
        <f t="shared" ca="1" si="176"/>
        <v>0</v>
      </c>
      <c r="V413" s="306">
        <f t="shared" ca="1" si="177"/>
        <v>1.1053656347026568</v>
      </c>
      <c r="W413" s="304">
        <f t="shared" ca="1" si="178"/>
        <v>15.313478151370679</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4.5782567859482564</v>
      </c>
      <c r="AH413" s="304">
        <f t="shared" ca="1" si="202"/>
        <v>-5.0787617587500646</v>
      </c>
    </row>
    <row r="414" spans="1:34" x14ac:dyDescent="0.2">
      <c r="A414" s="347">
        <f t="shared" ca="1" si="180"/>
        <v>0.1</v>
      </c>
      <c r="B414" s="304">
        <f t="shared" ca="1" si="181"/>
        <v>26.200000000000063</v>
      </c>
      <c r="D414" s="306">
        <f t="shared" ca="1" si="182"/>
        <v>-0.89357217886689377</v>
      </c>
      <c r="E414" s="307">
        <f t="shared" ca="1" si="183"/>
        <v>-4.7483104178257989</v>
      </c>
      <c r="F414" s="304">
        <f t="shared" ca="1" si="184"/>
        <v>4.8316584174461195</v>
      </c>
      <c r="G414" s="306">
        <f t="shared" ca="1" si="185"/>
        <v>14.210033720819665</v>
      </c>
      <c r="H414" s="307">
        <f t="shared" ca="1" si="186"/>
        <v>-81.474530738865127</v>
      </c>
      <c r="I414" s="304">
        <f t="shared" ca="1" si="187"/>
        <v>82.704438922376525</v>
      </c>
      <c r="J414" s="306">
        <f t="shared" ca="1" si="188"/>
        <v>641.13784481909215</v>
      </c>
      <c r="K414" s="307">
        <f t="shared" ca="1" si="189"/>
        <v>1018.6195901799366</v>
      </c>
      <c r="L414" s="304">
        <f t="shared" ca="1" si="174"/>
        <v>1203.5961139674771</v>
      </c>
      <c r="M414" s="306">
        <f t="shared" ca="1" si="190"/>
        <v>-1.3981224614090788</v>
      </c>
      <c r="N414" s="304">
        <f t="shared" ca="1" si="191"/>
        <v>-80.106516281182522</v>
      </c>
      <c r="P414" s="310">
        <f t="shared" ca="1" si="192"/>
        <v>23</v>
      </c>
      <c r="Q414" s="304">
        <f t="shared" ca="1" si="193"/>
        <v>0</v>
      </c>
      <c r="R414" s="306">
        <f t="shared" ca="1" si="194"/>
        <v>0</v>
      </c>
      <c r="S414" s="307">
        <f t="shared" ca="1" si="195"/>
        <v>2.9792999999999985</v>
      </c>
      <c r="T414" s="304">
        <f t="shared" ca="1" si="175"/>
        <v>29.226932999999988</v>
      </c>
      <c r="U414" s="311">
        <f t="shared" ca="1" si="176"/>
        <v>0</v>
      </c>
      <c r="V414" s="306">
        <f t="shared" ca="1" si="177"/>
        <v>1.1062663226891067</v>
      </c>
      <c r="W414" s="304">
        <f t="shared" ca="1" si="178"/>
        <v>15.494950759240258</v>
      </c>
      <c r="Y414" s="314" t="str">
        <f t="shared" ca="1" si="196"/>
        <v/>
      </c>
      <c r="Z414" s="315" t="str">
        <f t="shared" ca="1" si="197"/>
        <v/>
      </c>
      <c r="AA414" s="316" t="str">
        <f t="shared" ca="1" si="198"/>
        <v/>
      </c>
      <c r="AC414" s="310" t="e">
        <f t="shared" ca="1" si="199"/>
        <v>#N/A</v>
      </c>
      <c r="AD414" s="323" t="e">
        <f t="shared" ca="1" si="200"/>
        <v>#N/A</v>
      </c>
      <c r="AE414" s="324" t="e">
        <f t="shared" ca="1" si="179"/>
        <v>#N/A</v>
      </c>
      <c r="AG414" s="306">
        <f t="shared" ca="1" si="201"/>
        <v>4.5206595444528697</v>
      </c>
      <c r="AH414" s="304">
        <f t="shared" ca="1" si="202"/>
        <v>-5.1399584302925811</v>
      </c>
    </row>
    <row r="415" spans="1:34" x14ac:dyDescent="0.2">
      <c r="A415" s="347">
        <f t="shared" ca="1" si="180"/>
        <v>0.1</v>
      </c>
      <c r="B415" s="304">
        <f t="shared" ca="1" si="181"/>
        <v>26.300000000000065</v>
      </c>
      <c r="D415" s="306">
        <f t="shared" ca="1" si="182"/>
        <v>-0.89359813288833323</v>
      </c>
      <c r="E415" s="307">
        <f t="shared" ca="1" si="183"/>
        <v>-4.6864732036115546</v>
      </c>
      <c r="F415" s="304">
        <f t="shared" ca="1" si="184"/>
        <v>4.7709064873743507</v>
      </c>
      <c r="G415" s="306">
        <f t="shared" ca="1" si="185"/>
        <v>14.120673907530831</v>
      </c>
      <c r="H415" s="307">
        <f t="shared" ca="1" si="186"/>
        <v>-81.943178059226284</v>
      </c>
      <c r="I415" s="304">
        <f t="shared" ca="1" si="187"/>
        <v>83.150934222345839</v>
      </c>
      <c r="J415" s="306">
        <f t="shared" ca="1" si="188"/>
        <v>642.55438020050963</v>
      </c>
      <c r="K415" s="307">
        <f t="shared" ca="1" si="189"/>
        <v>1010.448704740032</v>
      </c>
      <c r="L415" s="304">
        <f t="shared" ca="1" si="174"/>
        <v>1197.4484191085933</v>
      </c>
      <c r="M415" s="306">
        <f t="shared" ca="1" si="190"/>
        <v>-1.4001495300759237</v>
      </c>
      <c r="N415" s="304">
        <f t="shared" ca="1" si="191"/>
        <v>-80.222658760575953</v>
      </c>
      <c r="P415" s="310">
        <f t="shared" ca="1" si="192"/>
        <v>23</v>
      </c>
      <c r="Q415" s="304">
        <f t="shared" ca="1" si="193"/>
        <v>0</v>
      </c>
      <c r="R415" s="306">
        <f t="shared" ca="1" si="194"/>
        <v>0</v>
      </c>
      <c r="S415" s="307">
        <f t="shared" ca="1" si="195"/>
        <v>2.9792999999999985</v>
      </c>
      <c r="T415" s="304">
        <f t="shared" ca="1" si="175"/>
        <v>29.226932999999988</v>
      </c>
      <c r="U415" s="311">
        <f t="shared" ca="1" si="176"/>
        <v>0</v>
      </c>
      <c r="V415" s="306">
        <f t="shared" ca="1" si="177"/>
        <v>1.1071729435005082</v>
      </c>
      <c r="W415" s="304">
        <f t="shared" ca="1" si="178"/>
        <v>15.675543212846799</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4.463244661266188</v>
      </c>
      <c r="AH415" s="304">
        <f t="shared" ca="1" si="202"/>
        <v>-5.2008695865606906</v>
      </c>
    </row>
    <row r="416" spans="1:34" x14ac:dyDescent="0.2">
      <c r="A416" s="347">
        <f t="shared" ca="1" si="180"/>
        <v>0.1</v>
      </c>
      <c r="B416" s="304">
        <f t="shared" ca="1" si="181"/>
        <v>26.400000000000066</v>
      </c>
      <c r="D416" s="306">
        <f t="shared" ca="1" si="182"/>
        <v>-0.89350431432839383</v>
      </c>
      <c r="E416" s="307">
        <f t="shared" ca="1" si="183"/>
        <v>-4.6249370486736705</v>
      </c>
      <c r="F416" s="304">
        <f t="shared" ca="1" si="184"/>
        <v>4.7104556747641491</v>
      </c>
      <c r="G416" s="306">
        <f t="shared" ca="1" si="185"/>
        <v>14.031323476097992</v>
      </c>
      <c r="H416" s="307">
        <f t="shared" ca="1" si="186"/>
        <v>-82.405671764093654</v>
      </c>
      <c r="I416" s="304">
        <f t="shared" ca="1" si="187"/>
        <v>83.591702802266454</v>
      </c>
      <c r="J416" s="306">
        <f t="shared" ca="1" si="188"/>
        <v>643.96198006969109</v>
      </c>
      <c r="K416" s="307">
        <f t="shared" ca="1" si="189"/>
        <v>1002.231262248866</v>
      </c>
      <c r="L416" s="304">
        <f t="shared" ca="1" si="174"/>
        <v>1191.2827266456241</v>
      </c>
      <c r="M416" s="306">
        <f t="shared" ca="1" si="190"/>
        <v>-1.4021424709465671</v>
      </c>
      <c r="N416" s="304">
        <f t="shared" ca="1" si="191"/>
        <v>-80.336845861282939</v>
      </c>
      <c r="P416" s="310">
        <f t="shared" ca="1" si="192"/>
        <v>23</v>
      </c>
      <c r="Q416" s="304">
        <f t="shared" ca="1" si="193"/>
        <v>0</v>
      </c>
      <c r="R416" s="306">
        <f t="shared" ca="1" si="194"/>
        <v>0</v>
      </c>
      <c r="S416" s="307">
        <f t="shared" ca="1" si="195"/>
        <v>2.9792999999999985</v>
      </c>
      <c r="T416" s="304">
        <f t="shared" ca="1" si="175"/>
        <v>29.226932999999988</v>
      </c>
      <c r="U416" s="311">
        <f t="shared" ca="1" si="176"/>
        <v>0</v>
      </c>
      <c r="V416" s="306">
        <f t="shared" ca="1" si="177"/>
        <v>1.1080854416443184</v>
      </c>
      <c r="W416" s="304">
        <f t="shared" ca="1" si="178"/>
        <v>15.855226942841892</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4.4060257465648469</v>
      </c>
      <c r="AH416" s="304">
        <f t="shared" ca="1" si="202"/>
        <v>-5.2614853196545521</v>
      </c>
    </row>
    <row r="417" spans="1:34" x14ac:dyDescent="0.2">
      <c r="A417" s="347">
        <f t="shared" ca="1" si="180"/>
        <v>0.1</v>
      </c>
      <c r="B417" s="304">
        <f t="shared" ca="1" si="181"/>
        <v>26.500000000000068</v>
      </c>
      <c r="D417" s="306">
        <f t="shared" ca="1" si="182"/>
        <v>-0.89329250645591141</v>
      </c>
      <c r="E417" s="307">
        <f t="shared" ca="1" si="183"/>
        <v>-4.5637116365589359</v>
      </c>
      <c r="F417" s="304">
        <f t="shared" ca="1" si="184"/>
        <v>4.6503156241005543</v>
      </c>
      <c r="G417" s="306">
        <f t="shared" ca="1" si="185"/>
        <v>13.941994225452401</v>
      </c>
      <c r="H417" s="307">
        <f t="shared" ca="1" si="186"/>
        <v>-82.862042927749542</v>
      </c>
      <c r="I417" s="304">
        <f t="shared" ca="1" si="187"/>
        <v>84.026765742486816</v>
      </c>
      <c r="J417" s="306">
        <f t="shared" ca="1" si="188"/>
        <v>645.36064595476864</v>
      </c>
      <c r="K417" s="307">
        <f t="shared" ca="1" si="189"/>
        <v>993.96787651427383</v>
      </c>
      <c r="L417" s="304">
        <f t="shared" ca="1" si="174"/>
        <v>1185.1002079526654</v>
      </c>
      <c r="M417" s="306">
        <f t="shared" ca="1" si="190"/>
        <v>-1.4041021597108361</v>
      </c>
      <c r="N417" s="304">
        <f t="shared" ca="1" si="191"/>
        <v>-80.449127756634766</v>
      </c>
      <c r="P417" s="310">
        <f t="shared" ca="1" si="192"/>
        <v>23</v>
      </c>
      <c r="Q417" s="304">
        <f t="shared" ca="1" si="193"/>
        <v>0</v>
      </c>
      <c r="R417" s="306">
        <f t="shared" ca="1" si="194"/>
        <v>0</v>
      </c>
      <c r="S417" s="307">
        <f t="shared" ca="1" si="195"/>
        <v>2.9792999999999985</v>
      </c>
      <c r="T417" s="304">
        <f t="shared" ca="1" si="175"/>
        <v>29.226932999999988</v>
      </c>
      <c r="U417" s="311">
        <f t="shared" ca="1" si="176"/>
        <v>0</v>
      </c>
      <c r="V417" s="306">
        <f t="shared" ca="1" si="177"/>
        <v>1.1090037618527451</v>
      </c>
      <c r="W417" s="304">
        <f t="shared" ca="1" si="178"/>
        <v>16.033974323504527</v>
      </c>
      <c r="Y417" s="314" t="str">
        <f t="shared" ca="1" si="196"/>
        <v/>
      </c>
      <c r="Z417" s="315" t="str">
        <f t="shared" ca="1" si="197"/>
        <v/>
      </c>
      <c r="AA417" s="316" t="str">
        <f t="shared" ca="1" si="198"/>
        <v/>
      </c>
      <c r="AC417" s="310" t="e">
        <f t="shared" ca="1" si="199"/>
        <v>#N/A</v>
      </c>
      <c r="AD417" s="323" t="e">
        <f t="shared" ca="1" si="200"/>
        <v>#N/A</v>
      </c>
      <c r="AE417" s="324" t="e">
        <f t="shared" ca="1" si="179"/>
        <v>#N/A</v>
      </c>
      <c r="AG417" s="306">
        <f t="shared" ca="1" si="201"/>
        <v>4.3490159291447794</v>
      </c>
      <c r="AH417" s="304">
        <f t="shared" ca="1" si="202"/>
        <v>-5.3217960402919813</v>
      </c>
    </row>
    <row r="418" spans="1:34" x14ac:dyDescent="0.2">
      <c r="A418" s="347">
        <f t="shared" ca="1" si="180"/>
        <v>0.1</v>
      </c>
      <c r="B418" s="304">
        <f t="shared" ca="1" si="181"/>
        <v>26.600000000000069</v>
      </c>
      <c r="D418" s="306">
        <f t="shared" ca="1" si="182"/>
        <v>-0.89296450909215797</v>
      </c>
      <c r="E418" s="307">
        <f t="shared" ca="1" si="183"/>
        <v>-4.5028063310863855</v>
      </c>
      <c r="F418" s="304">
        <f t="shared" ca="1" si="184"/>
        <v>4.5904956671115418</v>
      </c>
      <c r="G418" s="306">
        <f t="shared" ca="1" si="185"/>
        <v>13.852697774543184</v>
      </c>
      <c r="H418" s="307">
        <f t="shared" ca="1" si="186"/>
        <v>-83.312323560858175</v>
      </c>
      <c r="I418" s="304">
        <f t="shared" ca="1" si="187"/>
        <v>84.456145381742104</v>
      </c>
      <c r="J418" s="306">
        <f t="shared" ca="1" si="188"/>
        <v>646.75038055476841</v>
      </c>
      <c r="K418" s="307">
        <f t="shared" ca="1" si="189"/>
        <v>985.65915818984342</v>
      </c>
      <c r="L418" s="304">
        <f t="shared" ca="1" si="174"/>
        <v>1178.9020446463094</v>
      </c>
      <c r="M418" s="306">
        <f t="shared" ca="1" si="190"/>
        <v>-1.4060294417366046</v>
      </c>
      <c r="N418" s="304">
        <f t="shared" ca="1" si="191"/>
        <v>-80.55955288264272</v>
      </c>
      <c r="P418" s="310">
        <f t="shared" ca="1" si="192"/>
        <v>23</v>
      </c>
      <c r="Q418" s="304">
        <f t="shared" ca="1" si="193"/>
        <v>0</v>
      </c>
      <c r="R418" s="306">
        <f t="shared" ca="1" si="194"/>
        <v>0</v>
      </c>
      <c r="S418" s="307">
        <f t="shared" ca="1" si="195"/>
        <v>2.9792999999999985</v>
      </c>
      <c r="T418" s="304">
        <f t="shared" ca="1" si="175"/>
        <v>29.226932999999988</v>
      </c>
      <c r="U418" s="311">
        <f t="shared" ca="1" si="176"/>
        <v>0</v>
      </c>
      <c r="V418" s="306">
        <f t="shared" ca="1" si="177"/>
        <v>1.1099278490915214</v>
      </c>
      <c r="W418" s="304">
        <f t="shared" ca="1" si="178"/>
        <v>16.211758666497591</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4.2922278667470186</v>
      </c>
      <c r="AH418" s="304">
        <f t="shared" ca="1" si="202"/>
        <v>-5.3817924759186839</v>
      </c>
    </row>
    <row r="419" spans="1:34" x14ac:dyDescent="0.2">
      <c r="A419" s="347">
        <f t="shared" ca="1" si="180"/>
        <v>0.1</v>
      </c>
      <c r="B419" s="304">
        <f t="shared" ca="1" si="181"/>
        <v>26.70000000000007</v>
      </c>
      <c r="D419" s="306">
        <f t="shared" ca="1" si="182"/>
        <v>-0.89252213698754501</v>
      </c>
      <c r="E419" s="307">
        <f t="shared" ca="1" si="183"/>
        <v>-4.4422301784002478</v>
      </c>
      <c r="F419" s="304">
        <f t="shared" ca="1" si="184"/>
        <v>4.5310048248597914</v>
      </c>
      <c r="G419" s="306">
        <f t="shared" ca="1" si="185"/>
        <v>13.763445560844429</v>
      </c>
      <c r="H419" s="307">
        <f t="shared" ca="1" si="186"/>
        <v>-83.756546578698206</v>
      </c>
      <c r="I419" s="304">
        <f t="shared" ca="1" si="187"/>
        <v>84.879865271429182</v>
      </c>
      <c r="J419" s="306">
        <f t="shared" ca="1" si="188"/>
        <v>648.1311877215378</v>
      </c>
      <c r="K419" s="307">
        <f t="shared" ca="1" si="189"/>
        <v>977.30571468286564</v>
      </c>
      <c r="L419" s="304">
        <f t="shared" ca="1" si="174"/>
        <v>1172.6894288127262</v>
      </c>
      <c r="M419" s="306">
        <f t="shared" ca="1" si="190"/>
        <v>-1.4079251333515137</v>
      </c>
      <c r="N419" s="304">
        <f t="shared" ca="1" si="191"/>
        <v>-80.668168011435355</v>
      </c>
      <c r="P419" s="310">
        <f t="shared" ca="1" si="192"/>
        <v>23</v>
      </c>
      <c r="Q419" s="304">
        <f t="shared" ca="1" si="193"/>
        <v>0</v>
      </c>
      <c r="R419" s="306">
        <f t="shared" ca="1" si="194"/>
        <v>0</v>
      </c>
      <c r="S419" s="307">
        <f t="shared" ca="1" si="195"/>
        <v>2.9792999999999985</v>
      </c>
      <c r="T419" s="304">
        <f t="shared" ca="1" si="175"/>
        <v>29.226932999999988</v>
      </c>
      <c r="U419" s="311">
        <f t="shared" ca="1" si="176"/>
        <v>0</v>
      </c>
      <c r="V419" s="306">
        <f t="shared" ca="1" si="177"/>
        <v>1.1108576485684203</v>
      </c>
      <c r="W419" s="304">
        <f t="shared" ca="1" si="178"/>
        <v>16.388554214036379</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4.2356737560893558</v>
      </c>
      <c r="AH419" s="304">
        <f t="shared" ca="1" si="202"/>
        <v>-5.4414656686126266</v>
      </c>
    </row>
    <row r="420" spans="1:34" x14ac:dyDescent="0.2">
      <c r="A420" s="347">
        <f t="shared" ca="1" si="180"/>
        <v>0.1</v>
      </c>
      <c r="B420" s="304">
        <f t="shared" ca="1" si="181"/>
        <v>26.800000000000072</v>
      </c>
      <c r="D420" s="306">
        <f t="shared" ca="1" si="182"/>
        <v>-0.89196721823976977</v>
      </c>
      <c r="E420" s="307">
        <f t="shared" ca="1" si="183"/>
        <v>-4.3819919092274482</v>
      </c>
      <c r="F420" s="304">
        <f t="shared" ca="1" si="184"/>
        <v>4.4718518100390146</v>
      </c>
      <c r="G420" s="306">
        <f t="shared" ca="1" si="185"/>
        <v>13.674248839020452</v>
      </c>
      <c r="H420" s="307">
        <f t="shared" ca="1" si="186"/>
        <v>-84.194745769620951</v>
      </c>
      <c r="I420" s="304">
        <f t="shared" ca="1" si="187"/>
        <v>85.297950130835844</v>
      </c>
      <c r="J420" s="306">
        <f t="shared" ca="1" si="188"/>
        <v>649.503072441531</v>
      </c>
      <c r="K420" s="307">
        <f t="shared" ca="1" si="189"/>
        <v>968.90815006544972</v>
      </c>
      <c r="L420" s="304">
        <f t="shared" ca="1" si="174"/>
        <v>1166.4635632432935</v>
      </c>
      <c r="M420" s="306">
        <f t="shared" ca="1" si="190"/>
        <v>-1.4097900230613918</v>
      </c>
      <c r="N420" s="304">
        <f t="shared" ca="1" si="191"/>
        <v>-80.775018321068742</v>
      </c>
      <c r="P420" s="310">
        <f t="shared" ca="1" si="192"/>
        <v>23</v>
      </c>
      <c r="Q420" s="304">
        <f t="shared" ca="1" si="193"/>
        <v>0</v>
      </c>
      <c r="R420" s="306">
        <f t="shared" ca="1" si="194"/>
        <v>0</v>
      </c>
      <c r="S420" s="307">
        <f t="shared" ca="1" si="195"/>
        <v>2.9792999999999985</v>
      </c>
      <c r="T420" s="304">
        <f t="shared" ca="1" si="175"/>
        <v>29.226932999999988</v>
      </c>
      <c r="U420" s="311">
        <f t="shared" ca="1" si="176"/>
        <v>0</v>
      </c>
      <c r="V420" s="306">
        <f t="shared" ca="1" si="177"/>
        <v>1.1117931057415147</v>
      </c>
      <c r="W420" s="304">
        <f t="shared" ca="1" si="178"/>
        <v>16.564336131494844</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4.1793653426284898</v>
      </c>
      <c r="AH420" s="304">
        <f t="shared" ca="1" si="202"/>
        <v>-5.5008069727910538</v>
      </c>
    </row>
    <row r="421" spans="1:34" x14ac:dyDescent="0.2">
      <c r="A421" s="347">
        <f t="shared" ca="1" si="180"/>
        <v>0.1</v>
      </c>
      <c r="B421" s="304">
        <f t="shared" ca="1" si="181"/>
        <v>26.900000000000073</v>
      </c>
      <c r="D421" s="306">
        <f t="shared" ca="1" si="182"/>
        <v>-0.89130159275327125</v>
      </c>
      <c r="E421" s="307">
        <f t="shared" ca="1" si="183"/>
        <v>-4.3220999413306309</v>
      </c>
      <c r="F421" s="304">
        <f t="shared" ca="1" si="184"/>
        <v>4.413045029466022</v>
      </c>
      <c r="G421" s="306">
        <f t="shared" ca="1" si="185"/>
        <v>13.585118679745124</v>
      </c>
      <c r="H421" s="307">
        <f t="shared" ca="1" si="186"/>
        <v>-84.626955763754012</v>
      </c>
      <c r="I421" s="304">
        <f t="shared" ca="1" si="187"/>
        <v>85.710425803300836</v>
      </c>
      <c r="J421" s="306">
        <f t="shared" ca="1" si="188"/>
        <v>650.8660408174693</v>
      </c>
      <c r="K421" s="307">
        <f t="shared" ca="1" si="189"/>
        <v>960.46706498878098</v>
      </c>
      <c r="L421" s="304">
        <f t="shared" ca="1" si="174"/>
        <v>1160.225661678611</v>
      </c>
      <c r="M421" s="306">
        <f t="shared" ca="1" si="190"/>
        <v>-1.4116248727089291</v>
      </c>
      <c r="N421" s="304">
        <f t="shared" ca="1" si="191"/>
        <v>-80.880147461913708</v>
      </c>
      <c r="P421" s="310">
        <f t="shared" ca="1" si="192"/>
        <v>23</v>
      </c>
      <c r="Q421" s="304">
        <f t="shared" ca="1" si="193"/>
        <v>0</v>
      </c>
      <c r="R421" s="306">
        <f t="shared" ca="1" si="194"/>
        <v>0</v>
      </c>
      <c r="S421" s="307">
        <f t="shared" ca="1" si="195"/>
        <v>2.9792999999999985</v>
      </c>
      <c r="T421" s="304">
        <f t="shared" ca="1" si="175"/>
        <v>29.226932999999988</v>
      </c>
      <c r="U421" s="311">
        <f t="shared" ca="1" si="176"/>
        <v>0</v>
      </c>
      <c r="V421" s="306">
        <f t="shared" ca="1" si="177"/>
        <v>1.1127341663271868</v>
      </c>
      <c r="W421" s="304">
        <f t="shared" ca="1" si="178"/>
        <v>16.739080499474959</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4.1233139300748185</v>
      </c>
      <c r="AH421" s="304">
        <f t="shared" ca="1" si="202"/>
        <v>-5.5598080527287799</v>
      </c>
    </row>
    <row r="422" spans="1:34" x14ac:dyDescent="0.2">
      <c r="A422" s="347">
        <f t="shared" ca="1" si="180"/>
        <v>0.1</v>
      </c>
      <c r="B422" s="304">
        <f t="shared" ca="1" si="181"/>
        <v>27.000000000000075</v>
      </c>
      <c r="D422" s="306">
        <f t="shared" ca="1" si="182"/>
        <v>-0.89052711073985391</v>
      </c>
      <c r="E422" s="307">
        <f t="shared" ca="1" si="183"/>
        <v>-4.2625623821477605</v>
      </c>
      <c r="F422" s="304">
        <f t="shared" ca="1" si="184"/>
        <v>4.3545925867598525</v>
      </c>
      <c r="G422" s="306">
        <f t="shared" ca="1" si="185"/>
        <v>13.496065968671138</v>
      </c>
      <c r="H422" s="307">
        <f t="shared" ca="1" si="186"/>
        <v>-85.053212001968788</v>
      </c>
      <c r="I422" s="304">
        <f t="shared" ca="1" si="187"/>
        <v>86.117319213283523</v>
      </c>
      <c r="J422" s="306">
        <f t="shared" ca="1" si="188"/>
        <v>652.22010004989011</v>
      </c>
      <c r="K422" s="307">
        <f t="shared" ca="1" si="189"/>
        <v>951.98305660049482</v>
      </c>
      <c r="L422" s="304">
        <f t="shared" ca="1" si="174"/>
        <v>1153.9769490607296</v>
      </c>
      <c r="M422" s="306">
        <f t="shared" ca="1" si="190"/>
        <v>-1.4134304185759461</v>
      </c>
      <c r="N422" s="304">
        <f t="shared" ca="1" si="191"/>
        <v>-80.983597619811064</v>
      </c>
      <c r="P422" s="310">
        <f t="shared" ca="1" si="192"/>
        <v>23</v>
      </c>
      <c r="Q422" s="304">
        <f t="shared" ca="1" si="193"/>
        <v>0</v>
      </c>
      <c r="R422" s="306">
        <f t="shared" ca="1" si="194"/>
        <v>0</v>
      </c>
      <c r="S422" s="307">
        <f t="shared" ca="1" si="195"/>
        <v>2.9792999999999985</v>
      </c>
      <c r="T422" s="304">
        <f t="shared" ca="1" si="175"/>
        <v>29.226932999999988</v>
      </c>
      <c r="U422" s="311">
        <f t="shared" ca="1" si="176"/>
        <v>0</v>
      </c>
      <c r="V422" s="306">
        <f t="shared" ca="1" si="177"/>
        <v>1.1136807763078802</v>
      </c>
      <c r="W422" s="304">
        <f t="shared" ca="1" si="178"/>
        <v>16.912764305364291</v>
      </c>
      <c r="Y422" s="314" t="str">
        <f t="shared" ca="1" si="196"/>
        <v/>
      </c>
      <c r="Z422" s="315" t="str">
        <f t="shared" ca="1" si="197"/>
        <v/>
      </c>
      <c r="AA422" s="316" t="str">
        <f t="shared" ca="1" si="198"/>
        <v/>
      </c>
      <c r="AC422" s="310">
        <f t="shared" ca="1" si="199"/>
        <v>27.000000000000075</v>
      </c>
      <c r="AD422" s="323">
        <f t="shared" ca="1" si="200"/>
        <v>652.22010004989011</v>
      </c>
      <c r="AE422" s="324" t="e">
        <f t="shared" ca="1" si="179"/>
        <v>#N/A</v>
      </c>
      <c r="AG422" s="306">
        <f t="shared" ca="1" si="201"/>
        <v>4.0675303896798853</v>
      </c>
      <c r="AH422" s="304">
        <f t="shared" ca="1" si="202"/>
        <v>-5.618460879896273</v>
      </c>
    </row>
    <row r="423" spans="1:34" x14ac:dyDescent="0.2">
      <c r="A423" s="347">
        <f t="shared" ca="1" si="180"/>
        <v>0.1</v>
      </c>
      <c r="B423" s="304">
        <f t="shared" ca="1" si="181"/>
        <v>27.100000000000076</v>
      </c>
      <c r="D423" s="306">
        <f t="shared" ca="1" si="182"/>
        <v>-0.88964563126027074</v>
      </c>
      <c r="E423" s="307">
        <f t="shared" ca="1" si="183"/>
        <v>-4.2033870316095072</v>
      </c>
      <c r="F423" s="304">
        <f t="shared" ca="1" si="184"/>
        <v>4.2965022851993773</v>
      </c>
      <c r="G423" s="306">
        <f t="shared" ca="1" si="185"/>
        <v>13.407101405545111</v>
      </c>
      <c r="H423" s="307">
        <f t="shared" ca="1" si="186"/>
        <v>-85.473550705129739</v>
      </c>
      <c r="I423" s="304">
        <f t="shared" ca="1" si="187"/>
        <v>86.518658324323056</v>
      </c>
      <c r="J423" s="306">
        <f t="shared" ca="1" si="188"/>
        <v>653.56525841860093</v>
      </c>
      <c r="K423" s="307">
        <f t="shared" ca="1" si="189"/>
        <v>943.45671846513994</v>
      </c>
      <c r="L423" s="304">
        <f t="shared" ca="1" si="174"/>
        <v>1147.7186617933783</v>
      </c>
      <c r="M423" s="306">
        <f t="shared" ca="1" si="190"/>
        <v>-1.4152073724323779</v>
      </c>
      <c r="N423" s="304">
        <f t="shared" ca="1" si="191"/>
        <v>-81.085409576174101</v>
      </c>
      <c r="P423" s="310">
        <f t="shared" ca="1" si="192"/>
        <v>23</v>
      </c>
      <c r="Q423" s="304">
        <f t="shared" ca="1" si="193"/>
        <v>0</v>
      </c>
      <c r="R423" s="306">
        <f t="shared" ca="1" si="194"/>
        <v>0</v>
      </c>
      <c r="S423" s="307">
        <f t="shared" ca="1" si="195"/>
        <v>2.9792999999999985</v>
      </c>
      <c r="T423" s="304">
        <f t="shared" ca="1" si="175"/>
        <v>29.226932999999988</v>
      </c>
      <c r="U423" s="311">
        <f t="shared" ca="1" si="176"/>
        <v>0</v>
      </c>
      <c r="V423" s="306">
        <f t="shared" ca="1" si="177"/>
        <v>1.1146328819396063</v>
      </c>
      <c r="W423" s="304">
        <f t="shared" ca="1" si="178"/>
        <v>17.085365434406949</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4.0120251693144589</v>
      </c>
      <c r="AH423" s="304">
        <f t="shared" ca="1" si="202"/>
        <v>-5.6767577301259688</v>
      </c>
    </row>
    <row r="424" spans="1:34" x14ac:dyDescent="0.2">
      <c r="A424" s="347">
        <f t="shared" ca="1" si="180"/>
        <v>0.1</v>
      </c>
      <c r="B424" s="304">
        <f t="shared" ca="1" si="181"/>
        <v>27.200000000000077</v>
      </c>
      <c r="D424" s="306">
        <f t="shared" ca="1" si="182"/>
        <v>-0.88865902080659853</v>
      </c>
      <c r="E424" s="307">
        <f t="shared" ca="1" si="183"/>
        <v>-4.1445813851256181</v>
      </c>
      <c r="F424" s="304">
        <f t="shared" ca="1" si="184"/>
        <v>4.2387816307508377</v>
      </c>
      <c r="G424" s="306">
        <f t="shared" ca="1" si="185"/>
        <v>13.318235503464452</v>
      </c>
      <c r="H424" s="307">
        <f t="shared" ca="1" si="186"/>
        <v>-85.888008843642297</v>
      </c>
      <c r="I424" s="304">
        <f t="shared" ca="1" si="187"/>
        <v>86.914472097869407</v>
      </c>
      <c r="J424" s="306">
        <f t="shared" ca="1" si="188"/>
        <v>654.90152526405143</v>
      </c>
      <c r="K424" s="307">
        <f t="shared" ca="1" si="189"/>
        <v>934.88864048770131</v>
      </c>
      <c r="L424" s="304">
        <f t="shared" ca="1" si="174"/>
        <v>1141.4520480099563</v>
      </c>
      <c r="M424" s="306">
        <f t="shared" ca="1" si="190"/>
        <v>-1.4169564225349152</v>
      </c>
      <c r="N424" s="304">
        <f t="shared" ca="1" si="191"/>
        <v>-81.185622765206418</v>
      </c>
      <c r="P424" s="310">
        <f t="shared" ca="1" si="192"/>
        <v>23</v>
      </c>
      <c r="Q424" s="304">
        <f t="shared" ca="1" si="193"/>
        <v>0</v>
      </c>
      <c r="R424" s="306">
        <f t="shared" ca="1" si="194"/>
        <v>0</v>
      </c>
      <c r="S424" s="307">
        <f t="shared" ca="1" si="195"/>
        <v>2.9792999999999985</v>
      </c>
      <c r="T424" s="304">
        <f t="shared" ca="1" si="175"/>
        <v>29.226932999999988</v>
      </c>
      <c r="U424" s="311">
        <f t="shared" ca="1" si="176"/>
        <v>0</v>
      </c>
      <c r="V424" s="306">
        <f t="shared" ca="1" si="177"/>
        <v>1.1155904297591952</v>
      </c>
      <c r="W424" s="304">
        <f t="shared" ca="1" si="178"/>
        <v>17.256862660312642</v>
      </c>
      <c r="Y424" s="314" t="str">
        <f t="shared" ca="1" si="196"/>
        <v/>
      </c>
      <c r="Z424" s="315" t="str">
        <f t="shared" ca="1" si="197"/>
        <v/>
      </c>
      <c r="AA424" s="316" t="str">
        <f t="shared" ca="1" si="198"/>
        <v/>
      </c>
      <c r="AC424" s="310" t="e">
        <f t="shared" ca="1" si="199"/>
        <v>#N/A</v>
      </c>
      <c r="AD424" s="323" t="e">
        <f t="shared" ca="1" si="200"/>
        <v>#N/A</v>
      </c>
      <c r="AE424" s="324" t="e">
        <f t="shared" ca="1" si="179"/>
        <v>#N/A</v>
      </c>
      <c r="AG424" s="306">
        <f t="shared" ca="1" si="201"/>
        <v>3.9568083023534726</v>
      </c>
      <c r="AH424" s="304">
        <f t="shared" ca="1" si="202"/>
        <v>-5.734691180615231</v>
      </c>
    </row>
    <row r="425" spans="1:34" x14ac:dyDescent="0.2">
      <c r="A425" s="347">
        <f t="shared" ca="1" si="180"/>
        <v>0.1</v>
      </c>
      <c r="B425" s="304">
        <f t="shared" ca="1" si="181"/>
        <v>27.300000000000079</v>
      </c>
      <c r="D425" s="306">
        <f t="shared" ca="1" si="182"/>
        <v>-0.88756915192516284</v>
      </c>
      <c r="E425" s="307">
        <f t="shared" ca="1" si="183"/>
        <v>-4.0861526367316099</v>
      </c>
      <c r="F425" s="304">
        <f t="shared" ca="1" si="184"/>
        <v>4.1814378352568919</v>
      </c>
      <c r="G425" s="306">
        <f t="shared" ca="1" si="185"/>
        <v>13.229478588271936</v>
      </c>
      <c r="H425" s="307">
        <f t="shared" ca="1" si="186"/>
        <v>-86.296624107315452</v>
      </c>
      <c r="I425" s="304">
        <f t="shared" ca="1" si="187"/>
        <v>87.304790452969101</v>
      </c>
      <c r="J425" s="306">
        <f t="shared" ca="1" si="188"/>
        <v>656.22891096863827</v>
      </c>
      <c r="K425" s="307">
        <f t="shared" ca="1" si="189"/>
        <v>926.27940884015345</v>
      </c>
      <c r="L425" s="304">
        <f t="shared" ca="1" si="174"/>
        <v>1135.1783678490131</v>
      </c>
      <c r="M425" s="306">
        <f t="shared" ca="1" si="190"/>
        <v>-1.4186782345780493</v>
      </c>
      <c r="N425" s="304">
        <f t="shared" ca="1" si="191"/>
        <v>-81.284275328392795</v>
      </c>
      <c r="P425" s="310">
        <f t="shared" ca="1" si="192"/>
        <v>23</v>
      </c>
      <c r="Q425" s="304">
        <f t="shared" ca="1" si="193"/>
        <v>0</v>
      </c>
      <c r="R425" s="306">
        <f t="shared" ca="1" si="194"/>
        <v>0</v>
      </c>
      <c r="S425" s="307">
        <f t="shared" ca="1" si="195"/>
        <v>2.9792999999999985</v>
      </c>
      <c r="T425" s="304">
        <f t="shared" ca="1" si="175"/>
        <v>29.226932999999988</v>
      </c>
      <c r="U425" s="311">
        <f t="shared" ca="1" si="176"/>
        <v>0</v>
      </c>
      <c r="V425" s="306">
        <f t="shared" ca="1" si="177"/>
        <v>1.1165533665913068</v>
      </c>
      <c r="W425" s="304">
        <f t="shared" ca="1" si="178"/>
        <v>17.42723563542847</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3.9018894163822528</v>
      </c>
      <c r="AH425" s="304">
        <f t="shared" ca="1" si="202"/>
        <v>-5.7922541067742932</v>
      </c>
    </row>
    <row r="426" spans="1:34" x14ac:dyDescent="0.2">
      <c r="A426" s="347">
        <f t="shared" ca="1" si="180"/>
        <v>0.1</v>
      </c>
      <c r="B426" s="304">
        <f t="shared" ca="1" si="181"/>
        <v>27.40000000000008</v>
      </c>
      <c r="D426" s="306">
        <f t="shared" ca="1" si="182"/>
        <v>-0.8863779018798037</v>
      </c>
      <c r="E426" s="307">
        <f t="shared" ca="1" si="183"/>
        <v>-4.0281076823872155</v>
      </c>
      <c r="F426" s="304">
        <f t="shared" ca="1" si="184"/>
        <v>4.1244778197788561</v>
      </c>
      <c r="G426" s="306">
        <f t="shared" ca="1" si="185"/>
        <v>13.140840798083955</v>
      </c>
      <c r="H426" s="307">
        <f t="shared" ca="1" si="186"/>
        <v>-86.699434875554175</v>
      </c>
      <c r="I426" s="304">
        <f t="shared" ca="1" si="187"/>
        <v>87.68964422679025</v>
      </c>
      <c r="J426" s="306">
        <f t="shared" ca="1" si="188"/>
        <v>657.54742693795606</v>
      </c>
      <c r="K426" s="307">
        <f t="shared" ca="1" si="189"/>
        <v>917.62960589100999</v>
      </c>
      <c r="L426" s="304">
        <f t="shared" ca="1" si="174"/>
        <v>1128.898893736909</v>
      </c>
      <c r="M426" s="306">
        <f t="shared" ca="1" si="190"/>
        <v>-1.4203734526001124</v>
      </c>
      <c r="N426" s="304">
        <f t="shared" ca="1" si="191"/>
        <v>-81.381404166411528</v>
      </c>
      <c r="P426" s="310">
        <f t="shared" ca="1" si="192"/>
        <v>23</v>
      </c>
      <c r="Q426" s="304">
        <f t="shared" ca="1" si="193"/>
        <v>0</v>
      </c>
      <c r="R426" s="306">
        <f t="shared" ca="1" si="194"/>
        <v>0</v>
      </c>
      <c r="S426" s="307">
        <f t="shared" ca="1" si="195"/>
        <v>2.9792999999999985</v>
      </c>
      <c r="T426" s="304">
        <f t="shared" ca="1" si="175"/>
        <v>29.226932999999988</v>
      </c>
      <c r="U426" s="311">
        <f t="shared" ca="1" si="176"/>
        <v>0</v>
      </c>
      <c r="V426" s="306">
        <f t="shared" ca="1" si="177"/>
        <v>1.1175216395551908</v>
      </c>
      <c r="W426" s="304">
        <f t="shared" ca="1" si="178"/>
        <v>17.596464880497621</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3.847277741737023</v>
      </c>
      <c r="AH426" s="304">
        <f t="shared" ca="1" si="202"/>
        <v>-5.8494396789274257</v>
      </c>
    </row>
    <row r="427" spans="1:34" x14ac:dyDescent="0.2">
      <c r="A427" s="347">
        <f t="shared" ca="1" si="180"/>
        <v>0.1</v>
      </c>
      <c r="B427" s="304">
        <f t="shared" ca="1" si="181"/>
        <v>27.500000000000082</v>
      </c>
      <c r="D427" s="306">
        <f t="shared" ca="1" si="182"/>
        <v>-0.88508715135520721</v>
      </c>
      <c r="E427" s="307">
        <f t="shared" ca="1" si="183"/>
        <v>-3.9704531234181495</v>
      </c>
      <c r="F427" s="304">
        <f t="shared" ca="1" si="184"/>
        <v>4.0679082180839599</v>
      </c>
      <c r="G427" s="306">
        <f t="shared" ca="1" si="185"/>
        <v>13.052332082948434</v>
      </c>
      <c r="H427" s="307">
        <f t="shared" ca="1" si="186"/>
        <v>-87.096480187895992</v>
      </c>
      <c r="I427" s="304">
        <f t="shared" ca="1" si="187"/>
        <v>88.069065135972252</v>
      </c>
      <c r="J427" s="306">
        <f t="shared" ca="1" si="188"/>
        <v>658.8570855820077</v>
      </c>
      <c r="K427" s="307">
        <f t="shared" ca="1" si="189"/>
        <v>908.93981013783753</v>
      </c>
      <c r="L427" s="304">
        <f t="shared" ca="1" si="174"/>
        <v>1122.6149106773103</v>
      </c>
      <c r="M427" s="306">
        <f t="shared" ca="1" si="190"/>
        <v>-1.4220426998467386</v>
      </c>
      <c r="N427" s="304">
        <f t="shared" ca="1" si="191"/>
        <v>-81.477044988607034</v>
      </c>
      <c r="P427" s="310">
        <f t="shared" ca="1" si="192"/>
        <v>23</v>
      </c>
      <c r="Q427" s="304">
        <f t="shared" ca="1" si="193"/>
        <v>0</v>
      </c>
      <c r="R427" s="306">
        <f t="shared" ca="1" si="194"/>
        <v>0</v>
      </c>
      <c r="S427" s="307">
        <f t="shared" ca="1" si="195"/>
        <v>2.9792999999999985</v>
      </c>
      <c r="T427" s="304">
        <f t="shared" ca="1" si="175"/>
        <v>29.226932999999988</v>
      </c>
      <c r="U427" s="311">
        <f t="shared" ca="1" si="176"/>
        <v>0</v>
      </c>
      <c r="V427" s="306">
        <f t="shared" ca="1" si="177"/>
        <v>1.1184951960712051</v>
      </c>
      <c r="W427" s="304">
        <f t="shared" ca="1" si="178"/>
        <v>17.764531774028871</v>
      </c>
      <c r="Y427" s="314" t="str">
        <f t="shared" ca="1" si="196"/>
        <v/>
      </c>
      <c r="Z427" s="315" t="str">
        <f t="shared" ca="1" si="197"/>
        <v/>
      </c>
      <c r="AA427" s="316" t="str">
        <f t="shared" ca="1" si="198"/>
        <v/>
      </c>
      <c r="AC427" s="310" t="e">
        <f t="shared" ca="1" si="199"/>
        <v>#N/A</v>
      </c>
      <c r="AD427" s="323" t="e">
        <f t="shared" ca="1" si="200"/>
        <v>#N/A</v>
      </c>
      <c r="AE427" s="324" t="e">
        <f t="shared" ca="1" si="179"/>
        <v>#N/A</v>
      </c>
      <c r="AG427" s="306">
        <f t="shared" ca="1" si="201"/>
        <v>3.7929821198912927</v>
      </c>
      <c r="AH427" s="304">
        <f t="shared" ca="1" si="202"/>
        <v>-5.9062413588754508</v>
      </c>
    </row>
    <row r="428" spans="1:34" x14ac:dyDescent="0.2">
      <c r="A428" s="347">
        <f t="shared" ca="1" si="180"/>
        <v>0.1</v>
      </c>
      <c r="B428" s="304">
        <f t="shared" ca="1" si="181"/>
        <v>27.600000000000083</v>
      </c>
      <c r="D428" s="306">
        <f t="shared" ca="1" si="182"/>
        <v>-0.88369878320002448</v>
      </c>
      <c r="E428" s="307">
        <f t="shared" ca="1" si="183"/>
        <v>-3.9131952700928823</v>
      </c>
      <c r="F428" s="304">
        <f t="shared" ca="1" si="184"/>
        <v>4.0117353802695552</v>
      </c>
      <c r="G428" s="306">
        <f t="shared" ca="1" si="185"/>
        <v>12.963962204628432</v>
      </c>
      <c r="H428" s="307">
        <f t="shared" ca="1" si="186"/>
        <v>-87.487799714905279</v>
      </c>
      <c r="I428" s="304">
        <f t="shared" ca="1" si="187"/>
        <v>88.44308573878692</v>
      </c>
      <c r="J428" s="306">
        <f t="shared" ca="1" si="188"/>
        <v>660.15790029638652</v>
      </c>
      <c r="K428" s="307">
        <f t="shared" ca="1" si="189"/>
        <v>900.21059614269745</v>
      </c>
      <c r="L428" s="304">
        <f t="shared" ca="1" si="174"/>
        <v>1116.3277165471279</v>
      </c>
      <c r="M428" s="306">
        <f t="shared" ca="1" si="190"/>
        <v>-1.4236865795940306</v>
      </c>
      <c r="N428" s="304">
        <f t="shared" ca="1" si="191"/>
        <v>-81.5712323601539</v>
      </c>
      <c r="P428" s="310">
        <f t="shared" ca="1" si="192"/>
        <v>23</v>
      </c>
      <c r="Q428" s="304">
        <f t="shared" ca="1" si="193"/>
        <v>0</v>
      </c>
      <c r="R428" s="306">
        <f t="shared" ca="1" si="194"/>
        <v>0</v>
      </c>
      <c r="S428" s="307">
        <f t="shared" ca="1" si="195"/>
        <v>2.9792999999999985</v>
      </c>
      <c r="T428" s="304">
        <f t="shared" ca="1" si="175"/>
        <v>29.226932999999988</v>
      </c>
      <c r="U428" s="311">
        <f t="shared" ca="1" si="176"/>
        <v>0</v>
      </c>
      <c r="V428" s="306">
        <f t="shared" ca="1" si="177"/>
        <v>1.119473983867098</v>
      </c>
      <c r="W428" s="304">
        <f t="shared" ca="1" si="178"/>
        <v>17.931418541300712</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3.739011011698457</v>
      </c>
      <c r="AH428" s="304">
        <f t="shared" ca="1" si="202"/>
        <v>-5.9626528963276204</v>
      </c>
    </row>
    <row r="429" spans="1:34" x14ac:dyDescent="0.2">
      <c r="A429" s="347">
        <f t="shared" ca="1" si="180"/>
        <v>0.1</v>
      </c>
      <c r="B429" s="304">
        <f t="shared" ca="1" si="181"/>
        <v>27.700000000000085</v>
      </c>
      <c r="D429" s="306">
        <f t="shared" ca="1" si="182"/>
        <v>-0.88221468120949487</v>
      </c>
      <c r="E429" s="307">
        <f t="shared" ca="1" si="183"/>
        <v>-3.8563401453261585</v>
      </c>
      <c r="F429" s="304">
        <f t="shared" ca="1" si="184"/>
        <v>3.9559653765162994</v>
      </c>
      <c r="G429" s="306">
        <f t="shared" ca="1" si="185"/>
        <v>12.875740736507483</v>
      </c>
      <c r="H429" s="307">
        <f t="shared" ca="1" si="186"/>
        <v>-87.873433729437892</v>
      </c>
      <c r="I429" s="304">
        <f t="shared" ca="1" si="187"/>
        <v>88.811739398097984</v>
      </c>
      <c r="J429" s="306">
        <f t="shared" ca="1" si="188"/>
        <v>661.44988544344335</v>
      </c>
      <c r="K429" s="307">
        <f t="shared" ca="1" si="189"/>
        <v>891.44253447048027</v>
      </c>
      <c r="L429" s="304">
        <f t="shared" ca="1" si="174"/>
        <v>1110.0386223984719</v>
      </c>
      <c r="M429" s="306">
        <f t="shared" ca="1" si="190"/>
        <v>-1.4253056759335776</v>
      </c>
      <c r="N429" s="304">
        <f t="shared" ca="1" si="191"/>
        <v>-81.663999747035021</v>
      </c>
      <c r="P429" s="310">
        <f t="shared" ca="1" si="192"/>
        <v>23</v>
      </c>
      <c r="Q429" s="304">
        <f t="shared" ca="1" si="193"/>
        <v>0</v>
      </c>
      <c r="R429" s="306">
        <f t="shared" ca="1" si="194"/>
        <v>0</v>
      </c>
      <c r="S429" s="307">
        <f t="shared" ca="1" si="195"/>
        <v>2.9792999999999985</v>
      </c>
      <c r="T429" s="304">
        <f t="shared" ca="1" si="175"/>
        <v>29.226932999999988</v>
      </c>
      <c r="U429" s="311">
        <f t="shared" ca="1" si="176"/>
        <v>0</v>
      </c>
      <c r="V429" s="306">
        <f t="shared" ca="1" si="177"/>
        <v>1.1204579509840424</v>
      </c>
      <c r="W429" s="304">
        <f t="shared" ca="1" si="178"/>
        <v>18.097108243022884</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3.6853725054996724</v>
      </c>
      <c r="AH429" s="304">
        <f t="shared" ca="1" si="202"/>
        <v>-6.0186683252108617</v>
      </c>
    </row>
    <row r="430" spans="1:34" x14ac:dyDescent="0.2">
      <c r="A430" s="347">
        <f t="shared" ca="1" si="180"/>
        <v>0.1</v>
      </c>
      <c r="B430" s="304">
        <f t="shared" ca="1" si="181"/>
        <v>27.800000000000086</v>
      </c>
      <c r="D430" s="306">
        <f t="shared" ca="1" si="182"/>
        <v>-0.88063672894721823</v>
      </c>
      <c r="E430" s="307">
        <f t="shared" ca="1" si="183"/>
        <v>-3.7998934885013318</v>
      </c>
      <c r="F430" s="304">
        <f t="shared" ca="1" si="184"/>
        <v>3.9006040009626299</v>
      </c>
      <c r="G430" s="306">
        <f t="shared" ca="1" si="185"/>
        <v>12.787677063612762</v>
      </c>
      <c r="H430" s="307">
        <f t="shared" ca="1" si="186"/>
        <v>-88.253423078288023</v>
      </c>
      <c r="I430" s="304">
        <f t="shared" ca="1" si="187"/>
        <v>89.175060245107488</v>
      </c>
      <c r="J430" s="306">
        <f t="shared" ca="1" si="188"/>
        <v>662.73305633344933</v>
      </c>
      <c r="K430" s="307">
        <f t="shared" ca="1" si="189"/>
        <v>882.636191630094</v>
      </c>
      <c r="L430" s="304">
        <f t="shared" ca="1" si="174"/>
        <v>1103.7489527661401</v>
      </c>
      <c r="M430" s="306">
        <f t="shared" ca="1" si="190"/>
        <v>-1.4269005545213418</v>
      </c>
      <c r="N430" s="304">
        <f t="shared" ca="1" si="191"/>
        <v>-81.755379558949699</v>
      </c>
      <c r="P430" s="310">
        <f t="shared" ca="1" si="192"/>
        <v>23</v>
      </c>
      <c r="Q430" s="304">
        <f t="shared" ca="1" si="193"/>
        <v>0</v>
      </c>
      <c r="R430" s="306">
        <f t="shared" ca="1" si="194"/>
        <v>0</v>
      </c>
      <c r="S430" s="307">
        <f t="shared" ca="1" si="195"/>
        <v>2.9792999999999985</v>
      </c>
      <c r="T430" s="304">
        <f t="shared" ca="1" si="175"/>
        <v>29.226932999999988</v>
      </c>
      <c r="U430" s="311">
        <f t="shared" ca="1" si="176"/>
        <v>0</v>
      </c>
      <c r="V430" s="306">
        <f t="shared" ca="1" si="177"/>
        <v>1.1214470457824448</v>
      </c>
      <c r="W430" s="304">
        <f t="shared" ca="1" si="178"/>
        <v>18.261584763678638</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3.632074325105294</v>
      </c>
      <c r="AH430" s="304">
        <f t="shared" ca="1" si="202"/>
        <v>-6.0742819598640265</v>
      </c>
    </row>
    <row r="431" spans="1:34" x14ac:dyDescent="0.2">
      <c r="A431" s="347">
        <f t="shared" ca="1" si="180"/>
        <v>0.1</v>
      </c>
      <c r="B431" s="304">
        <f t="shared" ca="1" si="181"/>
        <v>27.900000000000087</v>
      </c>
      <c r="D431" s="306">
        <f t="shared" ca="1" si="182"/>
        <v>-0.87896680860577137</v>
      </c>
      <c r="E431" s="307">
        <f t="shared" ca="1" si="183"/>
        <v>-3.7438607594034528</v>
      </c>
      <c r="F431" s="304">
        <f t="shared" ca="1" si="184"/>
        <v>3.8456567756927571</v>
      </c>
      <c r="G431" s="306">
        <f t="shared" ca="1" si="185"/>
        <v>12.699780382752184</v>
      </c>
      <c r="H431" s="307">
        <f t="shared" ca="1" si="186"/>
        <v>-88.627809154228373</v>
      </c>
      <c r="I431" s="304">
        <f t="shared" ca="1" si="187"/>
        <v>89.533083143877406</v>
      </c>
      <c r="J431" s="306">
        <f t="shared" ca="1" si="188"/>
        <v>664.00742920576761</v>
      </c>
      <c r="K431" s="307">
        <f t="shared" ca="1" si="189"/>
        <v>873.79213001846813</v>
      </c>
      <c r="L431" s="304">
        <f t="shared" ca="1" si="174"/>
        <v>1097.4600459801095</v>
      </c>
      <c r="M431" s="306">
        <f t="shared" ca="1" si="190"/>
        <v>-1.4284717632923121</v>
      </c>
      <c r="N431" s="304">
        <f t="shared" ca="1" si="191"/>
        <v>-81.845403190260228</v>
      </c>
      <c r="P431" s="310">
        <f t="shared" ca="1" si="192"/>
        <v>23</v>
      </c>
      <c r="Q431" s="304">
        <f t="shared" ca="1" si="193"/>
        <v>0</v>
      </c>
      <c r="R431" s="306">
        <f t="shared" ca="1" si="194"/>
        <v>0</v>
      </c>
      <c r="S431" s="307">
        <f t="shared" ca="1" si="195"/>
        <v>2.9792999999999985</v>
      </c>
      <c r="T431" s="304">
        <f t="shared" ca="1" si="175"/>
        <v>29.226932999999988</v>
      </c>
      <c r="U431" s="311">
        <f t="shared" ca="1" si="176"/>
        <v>0</v>
      </c>
      <c r="V431" s="306">
        <f t="shared" ca="1" si="177"/>
        <v>1.1224412169475144</v>
      </c>
      <c r="W431" s="304">
        <f t="shared" ca="1" si="178"/>
        <v>18.424832799569664</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3.5791238376568373</v>
      </c>
      <c r="AH431" s="304">
        <f t="shared" ca="1" si="202"/>
        <v>-6.129488391124978</v>
      </c>
    </row>
    <row r="432" spans="1:34" x14ac:dyDescent="0.2">
      <c r="A432" s="347">
        <f t="shared" ca="1" si="180"/>
        <v>0.1</v>
      </c>
      <c r="B432" s="304">
        <f t="shared" ca="1" si="181"/>
        <v>28.000000000000089</v>
      </c>
      <c r="D432" s="306">
        <f t="shared" ca="1" si="182"/>
        <v>-0.87720679990577777</v>
      </c>
      <c r="E432" s="307">
        <f t="shared" ca="1" si="183"/>
        <v>-3.688247142255503</v>
      </c>
      <c r="F432" s="304">
        <f t="shared" ca="1" si="184"/>
        <v>3.7911289548308456</v>
      </c>
      <c r="G432" s="306">
        <f t="shared" ca="1" si="185"/>
        <v>12.612059702761606</v>
      </c>
      <c r="H432" s="307">
        <f t="shared" ca="1" si="186"/>
        <v>-88.996633868453927</v>
      </c>
      <c r="I432" s="304">
        <f t="shared" ca="1" si="187"/>
        <v>89.885843656616274</v>
      </c>
      <c r="J432" s="306">
        <f t="shared" ca="1" si="188"/>
        <v>665.27302121004334</v>
      </c>
      <c r="K432" s="307">
        <f t="shared" ca="1" si="189"/>
        <v>864.910907867334</v>
      </c>
      <c r="L432" s="304">
        <f t="shared" ca="1" si="174"/>
        <v>1091.1732544824561</v>
      </c>
      <c r="M432" s="306">
        <f t="shared" ca="1" si="190"/>
        <v>-1.4300198331427152</v>
      </c>
      <c r="N432" s="304">
        <f t="shared" ca="1" si="191"/>
        <v>-81.934101059079779</v>
      </c>
      <c r="P432" s="310">
        <f t="shared" ca="1" si="192"/>
        <v>23</v>
      </c>
      <c r="Q432" s="304">
        <f t="shared" ca="1" si="193"/>
        <v>0</v>
      </c>
      <c r="R432" s="306">
        <f t="shared" ca="1" si="194"/>
        <v>0</v>
      </c>
      <c r="S432" s="307">
        <f t="shared" ca="1" si="195"/>
        <v>2.9792999999999985</v>
      </c>
      <c r="T432" s="304">
        <f t="shared" ca="1" si="175"/>
        <v>29.226932999999988</v>
      </c>
      <c r="U432" s="311">
        <f t="shared" ca="1" si="176"/>
        <v>0</v>
      </c>
      <c r="V432" s="306">
        <f t="shared" ca="1" si="177"/>
        <v>1.1234404134946023</v>
      </c>
      <c r="W432" s="304">
        <f t="shared" ca="1" si="178"/>
        <v>18.586837846585983</v>
      </c>
      <c r="Y432" s="314" t="str">
        <f t="shared" ca="1" si="196"/>
        <v/>
      </c>
      <c r="Z432" s="315" t="str">
        <f t="shared" ca="1" si="197"/>
        <v/>
      </c>
      <c r="AA432" s="316" t="str">
        <f t="shared" ca="1" si="198"/>
        <v/>
      </c>
      <c r="AC432" s="310">
        <f t="shared" ca="1" si="199"/>
        <v>28.000000000000089</v>
      </c>
      <c r="AD432" s="323">
        <f t="shared" ca="1" si="200"/>
        <v>665.27302121004334</v>
      </c>
      <c r="AE432" s="324" t="e">
        <f t="shared" ca="1" si="179"/>
        <v>#N/A</v>
      </c>
      <c r="AG432" s="306">
        <f t="shared" ca="1" si="201"/>
        <v>3.5265280613759398</v>
      </c>
      <c r="AH432" s="304">
        <f t="shared" ca="1" si="202"/>
        <v>-6.1842824823178848</v>
      </c>
    </row>
    <row r="433" spans="1:34" x14ac:dyDescent="0.2">
      <c r="A433" s="347">
        <f t="shared" ca="1" si="180"/>
        <v>0.1</v>
      </c>
      <c r="B433" s="304">
        <f t="shared" ca="1" si="181"/>
        <v>28.10000000000009</v>
      </c>
      <c r="D433" s="306">
        <f t="shared" ca="1" si="182"/>
        <v>-0.87535857903304104</v>
      </c>
      <c r="E433" s="307">
        <f t="shared" ca="1" si="183"/>
        <v>-3.6330575498500535</v>
      </c>
      <c r="F433" s="304">
        <f t="shared" ca="1" si="184"/>
        <v>3.7370255287339447</v>
      </c>
      <c r="G433" s="306">
        <f t="shared" ca="1" si="185"/>
        <v>12.524523844858301</v>
      </c>
      <c r="H433" s="307">
        <f t="shared" ca="1" si="186"/>
        <v>-89.359939623438933</v>
      </c>
      <c r="I433" s="304">
        <f t="shared" ca="1" si="187"/>
        <v>90.233378009720312</v>
      </c>
      <c r="J433" s="306">
        <f t="shared" ca="1" si="188"/>
        <v>666.52985038742429</v>
      </c>
      <c r="K433" s="307">
        <f t="shared" ca="1" si="189"/>
        <v>855.9930791927394</v>
      </c>
      <c r="L433" s="304">
        <f t="shared" ca="1" si="174"/>
        <v>1084.8899451480549</v>
      </c>
      <c r="M433" s="306">
        <f t="shared" ca="1" si="190"/>
        <v>-1.4315452785814626</v>
      </c>
      <c r="N433" s="304">
        <f t="shared" ca="1" si="191"/>
        <v>-82.02150264459749</v>
      </c>
      <c r="P433" s="310">
        <f t="shared" ca="1" si="192"/>
        <v>23</v>
      </c>
      <c r="Q433" s="304">
        <f t="shared" ca="1" si="193"/>
        <v>0</v>
      </c>
      <c r="R433" s="306">
        <f t="shared" ca="1" si="194"/>
        <v>0</v>
      </c>
      <c r="S433" s="307">
        <f t="shared" ca="1" si="195"/>
        <v>2.9792999999999985</v>
      </c>
      <c r="T433" s="304">
        <f t="shared" ca="1" si="175"/>
        <v>29.226932999999988</v>
      </c>
      <c r="U433" s="311">
        <f t="shared" ca="1" si="176"/>
        <v>0</v>
      </c>
      <c r="V433" s="306">
        <f t="shared" ca="1" si="177"/>
        <v>1.1244445847743163</v>
      </c>
      <c r="W433" s="304">
        <f t="shared" ca="1" si="178"/>
        <v>18.747586187722106</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3.4742936732056959</v>
      </c>
      <c r="AH433" s="304">
        <f t="shared" ca="1" si="202"/>
        <v>-6.2386593651481865</v>
      </c>
    </row>
    <row r="434" spans="1:34" x14ac:dyDescent="0.2">
      <c r="A434" s="347">
        <f t="shared" ca="1" si="180"/>
        <v>0.1</v>
      </c>
      <c r="B434" s="304">
        <f t="shared" ca="1" si="181"/>
        <v>28.200000000000092</v>
      </c>
      <c r="D434" s="306">
        <f t="shared" ca="1" si="182"/>
        <v>-0.87342401761335764</v>
      </c>
      <c r="E434" s="307">
        <f t="shared" ca="1" si="183"/>
        <v>-3.5782966277689958</v>
      </c>
      <c r="F434" s="304">
        <f t="shared" ca="1" si="184"/>
        <v>3.6833512282766119</v>
      </c>
      <c r="G434" s="306">
        <f t="shared" ca="1" si="185"/>
        <v>12.437181443096966</v>
      </c>
      <c r="H434" s="307">
        <f t="shared" ca="1" si="186"/>
        <v>-89.717769286215827</v>
      </c>
      <c r="I434" s="304">
        <f t="shared" ca="1" si="187"/>
        <v>90.575723060559483</v>
      </c>
      <c r="J434" s="306">
        <f t="shared" ca="1" si="188"/>
        <v>667.77793565182208</v>
      </c>
      <c r="K434" s="307">
        <f t="shared" ca="1" si="189"/>
        <v>847.03919374725672</v>
      </c>
      <c r="L434" s="304">
        <f t="shared" ca="1" si="174"/>
        <v>1078.6114996083677</v>
      </c>
      <c r="M434" s="306">
        <f t="shared" ca="1" si="190"/>
        <v>-1.4330485983524224</v>
      </c>
      <c r="N434" s="304">
        <f t="shared" ca="1" si="191"/>
        <v>-82.107636522732065</v>
      </c>
      <c r="P434" s="310">
        <f t="shared" ca="1" si="192"/>
        <v>23</v>
      </c>
      <c r="Q434" s="304">
        <f t="shared" ca="1" si="193"/>
        <v>0</v>
      </c>
      <c r="R434" s="306">
        <f t="shared" ca="1" si="194"/>
        <v>0</v>
      </c>
      <c r="S434" s="307">
        <f t="shared" ca="1" si="195"/>
        <v>2.9792999999999985</v>
      </c>
      <c r="T434" s="304">
        <f t="shared" ca="1" si="175"/>
        <v>29.226932999999988</v>
      </c>
      <c r="U434" s="311">
        <f t="shared" ca="1" si="176"/>
        <v>0</v>
      </c>
      <c r="V434" s="306">
        <f t="shared" ca="1" si="177"/>
        <v>1.1254536804774073</v>
      </c>
      <c r="W434" s="304">
        <f t="shared" ca="1" si="178"/>
        <v>18.90706488036059</v>
      </c>
      <c r="Y434" s="314" t="str">
        <f t="shared" ca="1" si="196"/>
        <v/>
      </c>
      <c r="Z434" s="315" t="str">
        <f t="shared" ca="1" si="197"/>
        <v/>
      </c>
      <c r="AA434" s="316" t="str">
        <f t="shared" ca="1" si="198"/>
        <v/>
      </c>
      <c r="AC434" s="310" t="e">
        <f t="shared" ca="1" si="199"/>
        <v>#N/A</v>
      </c>
      <c r="AD434" s="323" t="e">
        <f t="shared" ca="1" si="200"/>
        <v>#N/A</v>
      </c>
      <c r="AE434" s="324" t="e">
        <f t="shared" ca="1" si="179"/>
        <v>#N/A</v>
      </c>
      <c r="AG434" s="306">
        <f t="shared" ca="1" si="201"/>
        <v>3.4224270163492614</v>
      </c>
      <c r="AH434" s="304">
        <f t="shared" ca="1" si="202"/>
        <v>-6.2926144355124078</v>
      </c>
    </row>
    <row r="435" spans="1:34" x14ac:dyDescent="0.2">
      <c r="A435" s="347">
        <f t="shared" ca="1" si="180"/>
        <v>0.1</v>
      </c>
      <c r="B435" s="304">
        <f t="shared" ca="1" si="181"/>
        <v>28.300000000000093</v>
      </c>
      <c r="D435" s="306">
        <f t="shared" ca="1" si="182"/>
        <v>-0.87140498172455405</v>
      </c>
      <c r="E435" s="307">
        <f t="shared" ca="1" si="183"/>
        <v>-3.5239687586840338</v>
      </c>
      <c r="F435" s="304">
        <f t="shared" ca="1" si="184"/>
        <v>3.630110529220214</v>
      </c>
      <c r="G435" s="306">
        <f t="shared" ca="1" si="185"/>
        <v>12.35004094492451</v>
      </c>
      <c r="H435" s="307">
        <f t="shared" ca="1" si="186"/>
        <v>-90.070166162084234</v>
      </c>
      <c r="I435" s="304">
        <f t="shared" ca="1" si="187"/>
        <v>90.912916264999311</v>
      </c>
      <c r="J435" s="306">
        <f t="shared" ca="1" si="188"/>
        <v>669.01729677122319</v>
      </c>
      <c r="K435" s="307">
        <f t="shared" ca="1" si="189"/>
        <v>838.04979697484168</v>
      </c>
      <c r="L435" s="304">
        <f t="shared" ca="1" si="174"/>
        <v>1072.3393145775492</v>
      </c>
      <c r="M435" s="306">
        <f t="shared" ca="1" si="190"/>
        <v>-1.4345302760290057</v>
      </c>
      <c r="N435" s="304">
        <f t="shared" ca="1" si="191"/>
        <v>-82.192530400199033</v>
      </c>
      <c r="P435" s="310">
        <f t="shared" ca="1" si="192"/>
        <v>23</v>
      </c>
      <c r="Q435" s="304">
        <f t="shared" ca="1" si="193"/>
        <v>0</v>
      </c>
      <c r="R435" s="306">
        <f t="shared" ca="1" si="194"/>
        <v>0</v>
      </c>
      <c r="S435" s="307">
        <f t="shared" ca="1" si="195"/>
        <v>2.9792999999999985</v>
      </c>
      <c r="T435" s="304">
        <f t="shared" ca="1" si="175"/>
        <v>29.226932999999988</v>
      </c>
      <c r="U435" s="311">
        <f t="shared" ca="1" si="176"/>
        <v>0</v>
      </c>
      <c r="V435" s="306">
        <f t="shared" ca="1" si="177"/>
        <v>1.1264676506394355</v>
      </c>
      <c r="W435" s="304">
        <f t="shared" ca="1" si="178"/>
        <v>19.06526174334353</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3.3709341077098296</v>
      </c>
      <c r="AH435" s="304">
        <f t="shared" ca="1" si="202"/>
        <v>-6.3461433492298864</v>
      </c>
    </row>
    <row r="436" spans="1:34" x14ac:dyDescent="0.2">
      <c r="A436" s="347">
        <f t="shared" ca="1" si="180"/>
        <v>0.1</v>
      </c>
      <c r="B436" s="304">
        <f t="shared" ca="1" si="181"/>
        <v>28.400000000000095</v>
      </c>
      <c r="D436" s="306">
        <f t="shared" ca="1" si="182"/>
        <v>-0.86930333094532686</v>
      </c>
      <c r="E436" s="307">
        <f t="shared" ca="1" si="183"/>
        <v>-3.4700780667308546</v>
      </c>
      <c r="F436" s="304">
        <f t="shared" ca="1" si="184"/>
        <v>3.5773076566601292</v>
      </c>
      <c r="G436" s="306">
        <f t="shared" ca="1" si="185"/>
        <v>12.263110611829978</v>
      </c>
      <c r="H436" s="307">
        <f t="shared" ca="1" si="186"/>
        <v>-90.417173968757325</v>
      </c>
      <c r="I436" s="304">
        <f t="shared" ca="1" si="187"/>
        <v>91.244995645648999</v>
      </c>
      <c r="J436" s="306">
        <f t="shared" ca="1" si="188"/>
        <v>670.24795434906093</v>
      </c>
      <c r="K436" s="307">
        <f t="shared" ca="1" si="189"/>
        <v>829.02542996829959</v>
      </c>
      <c r="L436" s="304">
        <f t="shared" ca="1" si="174"/>
        <v>1066.0748021800464</v>
      </c>
      <c r="M436" s="306">
        <f t="shared" ca="1" si="190"/>
        <v>-1.4359907805824812</v>
      </c>
      <c r="N436" s="304">
        <f t="shared" ca="1" si="191"/>
        <v>-82.276211147072814</v>
      </c>
      <c r="P436" s="310">
        <f t="shared" ca="1" si="192"/>
        <v>23</v>
      </c>
      <c r="Q436" s="304">
        <f t="shared" ca="1" si="193"/>
        <v>0</v>
      </c>
      <c r="R436" s="306">
        <f t="shared" ca="1" si="194"/>
        <v>0</v>
      </c>
      <c r="S436" s="307">
        <f t="shared" ca="1" si="195"/>
        <v>2.9792999999999985</v>
      </c>
      <c r="T436" s="304">
        <f t="shared" ca="1" si="175"/>
        <v>29.226932999999988</v>
      </c>
      <c r="U436" s="311">
        <f t="shared" ca="1" si="176"/>
        <v>0</v>
      </c>
      <c r="V436" s="306">
        <f t="shared" ca="1" si="177"/>
        <v>1.1274864456452187</v>
      </c>
      <c r="W436" s="304">
        <f t="shared" ca="1" si="178"/>
        <v>19.222165343851998</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3.3198206452355787</v>
      </c>
      <c r="AH436" s="304">
        <f t="shared" ca="1" si="202"/>
        <v>-6.3992420177033331</v>
      </c>
    </row>
    <row r="437" spans="1:34" x14ac:dyDescent="0.2">
      <c r="A437" s="347">
        <f t="shared" ca="1" si="180"/>
        <v>0.1</v>
      </c>
      <c r="B437" s="304">
        <f t="shared" ca="1" si="181"/>
        <v>28.500000000000096</v>
      </c>
      <c r="D437" s="306">
        <f t="shared" ca="1" si="182"/>
        <v>-0.86712091744039244</v>
      </c>
      <c r="E437" s="307">
        <f t="shared" ca="1" si="183"/>
        <v>-3.41662842195006</v>
      </c>
      <c r="F437" s="304">
        <f t="shared" ca="1" si="184"/>
        <v>3.524946589544248</v>
      </c>
      <c r="G437" s="306">
        <f t="shared" ca="1" si="185"/>
        <v>12.176398520085939</v>
      </c>
      <c r="H437" s="307">
        <f t="shared" ca="1" si="186"/>
        <v>-90.758836810952332</v>
      </c>
      <c r="I437" s="304">
        <f t="shared" ca="1" si="187"/>
        <v>91.571999760827694</v>
      </c>
      <c r="J437" s="306">
        <f t="shared" ca="1" si="188"/>
        <v>671.46992980565676</v>
      </c>
      <c r="K437" s="307">
        <f t="shared" ca="1" si="189"/>
        <v>819.96662942931414</v>
      </c>
      <c r="L437" s="304">
        <f t="shared" ca="1" si="174"/>
        <v>1059.8193902787793</v>
      </c>
      <c r="M437" s="306">
        <f t="shared" ca="1" si="190"/>
        <v>-1.4374305669253389</v>
      </c>
      <c r="N437" s="304">
        <f t="shared" ca="1" si="191"/>
        <v>-82.358704827919141</v>
      </c>
      <c r="P437" s="310">
        <f t="shared" ca="1" si="192"/>
        <v>23</v>
      </c>
      <c r="Q437" s="304">
        <f t="shared" ca="1" si="193"/>
        <v>0</v>
      </c>
      <c r="R437" s="306">
        <f t="shared" ca="1" si="194"/>
        <v>0</v>
      </c>
      <c r="S437" s="307">
        <f t="shared" ca="1" si="195"/>
        <v>2.9792999999999985</v>
      </c>
      <c r="T437" s="304">
        <f t="shared" ca="1" si="175"/>
        <v>29.226932999999988</v>
      </c>
      <c r="U437" s="311">
        <f t="shared" ca="1" si="176"/>
        <v>0</v>
      </c>
      <c r="V437" s="306">
        <f t="shared" ca="1" si="177"/>
        <v>1.1285100162330626</v>
      </c>
      <c r="W437" s="304">
        <f t="shared" ca="1" si="178"/>
        <v>19.377764984113021</v>
      </c>
      <c r="Y437" s="314" t="str">
        <f t="shared" ca="1" si="196"/>
        <v/>
      </c>
      <c r="Z437" s="315" t="str">
        <f t="shared" ca="1" si="197"/>
        <v/>
      </c>
      <c r="AA437" s="316" t="str">
        <f t="shared" ca="1" si="198"/>
        <v/>
      </c>
      <c r="AC437" s="310" t="e">
        <f t="shared" ca="1" si="199"/>
        <v>#N/A</v>
      </c>
      <c r="AD437" s="323" t="e">
        <f t="shared" ca="1" si="200"/>
        <v>#N/A</v>
      </c>
      <c r="AE437" s="324" t="e">
        <f t="shared" ca="1" si="179"/>
        <v>#N/A</v>
      </c>
      <c r="AG437" s="306">
        <f t="shared" ca="1" si="201"/>
        <v>3.2690920151726734</v>
      </c>
      <c r="AH437" s="304">
        <f t="shared" ca="1" si="202"/>
        <v>-6.4519066035149217</v>
      </c>
    </row>
    <row r="438" spans="1:34" x14ac:dyDescent="0.2">
      <c r="A438" s="347">
        <f t="shared" ca="1" si="180"/>
        <v>0.1</v>
      </c>
      <c r="B438" s="304">
        <f t="shared" ca="1" si="181"/>
        <v>28.600000000000097</v>
      </c>
      <c r="D438" s="306">
        <f t="shared" ca="1" si="182"/>
        <v>-0.86485958508148786</v>
      </c>
      <c r="E438" s="307">
        <f t="shared" ca="1" si="183"/>
        <v>-3.3636234447881197</v>
      </c>
      <c r="F438" s="304">
        <f t="shared" ca="1" si="184"/>
        <v>3.4730310652563445</v>
      </c>
      <c r="G438" s="306">
        <f t="shared" ca="1" si="185"/>
        <v>12.08991256157779</v>
      </c>
      <c r="H438" s="307">
        <f t="shared" ca="1" si="186"/>
        <v>-91.095199155431146</v>
      </c>
      <c r="I438" s="304">
        <f t="shared" ca="1" si="187"/>
        <v>91.893967674239974</v>
      </c>
      <c r="J438" s="306">
        <f t="shared" ca="1" si="188"/>
        <v>672.68324535974</v>
      </c>
      <c r="K438" s="307">
        <f t="shared" ca="1" si="189"/>
        <v>810.87392763099501</v>
      </c>
      <c r="L438" s="304">
        <f t="shared" ca="1" si="174"/>
        <v>1053.5745228029332</v>
      </c>
      <c r="M438" s="306">
        <f t="shared" ca="1" si="190"/>
        <v>-1.4388500764309613</v>
      </c>
      <c r="N438" s="304">
        <f t="shared" ca="1" si="191"/>
        <v>-82.440036731570004</v>
      </c>
      <c r="P438" s="310">
        <f t="shared" ca="1" si="192"/>
        <v>23</v>
      </c>
      <c r="Q438" s="304">
        <f t="shared" ca="1" si="193"/>
        <v>0</v>
      </c>
      <c r="R438" s="306">
        <f t="shared" ca="1" si="194"/>
        <v>0</v>
      </c>
      <c r="S438" s="307">
        <f t="shared" ca="1" si="195"/>
        <v>2.9792999999999985</v>
      </c>
      <c r="T438" s="304">
        <f t="shared" ca="1" si="175"/>
        <v>29.226932999999988</v>
      </c>
      <c r="U438" s="311">
        <f t="shared" ca="1" si="176"/>
        <v>0</v>
      </c>
      <c r="V438" s="306">
        <f t="shared" ca="1" si="177"/>
        <v>1.1295383134987795</v>
      </c>
      <c r="W438" s="304">
        <f t="shared" ca="1" si="178"/>
        <v>19.532050687953124</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3.2187532992288759</v>
      </c>
      <c r="AH438" s="304">
        <f t="shared" ca="1" si="202"/>
        <v>-6.5041335159644991</v>
      </c>
    </row>
    <row r="439" spans="1:34" x14ac:dyDescent="0.2">
      <c r="A439" s="347">
        <f t="shared" ca="1" si="180"/>
        <v>0.1</v>
      </c>
      <c r="B439" s="304">
        <f t="shared" ca="1" si="181"/>
        <v>28.700000000000099</v>
      </c>
      <c r="D439" s="306">
        <f t="shared" ca="1" si="182"/>
        <v>-0.86252116860370365</v>
      </c>
      <c r="E439" s="307">
        <f t="shared" ca="1" si="183"/>
        <v>-3.3110665106517843</v>
      </c>
      <c r="F439" s="304">
        <f t="shared" ca="1" si="184"/>
        <v>3.4215645842580962</v>
      </c>
      <c r="G439" s="306">
        <f t="shared" ca="1" si="185"/>
        <v>12.00366044471742</v>
      </c>
      <c r="H439" s="307">
        <f t="shared" ca="1" si="186"/>
        <v>-91.42630580649633</v>
      </c>
      <c r="I439" s="304">
        <f t="shared" ca="1" si="187"/>
        <v>92.210938925352337</v>
      </c>
      <c r="J439" s="306">
        <f t="shared" ca="1" si="188"/>
        <v>673.8879240100548</v>
      </c>
      <c r="K439" s="307">
        <f t="shared" ca="1" si="189"/>
        <v>801.7478523828986</v>
      </c>
      <c r="L439" s="304">
        <f t="shared" ca="1" si="174"/>
        <v>1047.341660074291</v>
      </c>
      <c r="M439" s="306">
        <f t="shared" ca="1" si="190"/>
        <v>-1.4402497374307803</v>
      </c>
      <c r="N439" s="304">
        <f t="shared" ca="1" si="191"/>
        <v>-82.520231399608704</v>
      </c>
      <c r="P439" s="310">
        <f t="shared" ca="1" si="192"/>
        <v>23</v>
      </c>
      <c r="Q439" s="304">
        <f t="shared" ca="1" si="193"/>
        <v>0</v>
      </c>
      <c r="R439" s="306">
        <f t="shared" ca="1" si="194"/>
        <v>0</v>
      </c>
      <c r="S439" s="307">
        <f t="shared" ca="1" si="195"/>
        <v>2.9792999999999985</v>
      </c>
      <c r="T439" s="304">
        <f t="shared" ca="1" si="175"/>
        <v>29.226932999999988</v>
      </c>
      <c r="U439" s="311">
        <f t="shared" ca="1" si="176"/>
        <v>0</v>
      </c>
      <c r="V439" s="306">
        <f t="shared" ca="1" si="177"/>
        <v>1.1305712888995005</v>
      </c>
      <c r="W439" s="304">
        <f t="shared" ca="1" si="178"/>
        <v>19.685013187216924</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3.1688092816499722</v>
      </c>
      <c r="AH439" s="304">
        <f t="shared" ca="1" si="202"/>
        <v>-6.5559194065562831</v>
      </c>
    </row>
    <row r="440" spans="1:34" x14ac:dyDescent="0.2">
      <c r="A440" s="347">
        <f t="shared" ca="1" si="180"/>
        <v>0.1</v>
      </c>
      <c r="B440" s="304">
        <f t="shared" ca="1" si="181"/>
        <v>28.8000000000001</v>
      </c>
      <c r="D440" s="306">
        <f t="shared" ca="1" si="182"/>
        <v>-0.86010749279664511</v>
      </c>
      <c r="E440" s="307">
        <f t="shared" ca="1" si="183"/>
        <v>-3.2589607545095696</v>
      </c>
      <c r="F440" s="304">
        <f t="shared" ca="1" si="184"/>
        <v>3.3705504147836916</v>
      </c>
      <c r="G440" s="306">
        <f t="shared" ca="1" si="185"/>
        <v>11.917649695437756</v>
      </c>
      <c r="H440" s="307">
        <f t="shared" ca="1" si="186"/>
        <v>-91.752201881947286</v>
      </c>
      <c r="I440" s="304">
        <f t="shared" ca="1" si="187"/>
        <v>92.522953500462677</v>
      </c>
      <c r="J440" s="306">
        <f t="shared" ca="1" si="188"/>
        <v>675.08398951706261</v>
      </c>
      <c r="K440" s="307">
        <f t="shared" ca="1" si="189"/>
        <v>792.58892699847638</v>
      </c>
      <c r="L440" s="304">
        <f t="shared" ca="1" si="174"/>
        <v>1041.1222791309719</v>
      </c>
      <c r="M440" s="306">
        <f t="shared" ca="1" si="190"/>
        <v>-1.4416299656900384</v>
      </c>
      <c r="N440" s="304">
        <f t="shared" ca="1" si="191"/>
        <v>-82.599312653628871</v>
      </c>
      <c r="P440" s="310">
        <f t="shared" ca="1" si="192"/>
        <v>23</v>
      </c>
      <c r="Q440" s="304">
        <f t="shared" ca="1" si="193"/>
        <v>0</v>
      </c>
      <c r="R440" s="306">
        <f t="shared" ca="1" si="194"/>
        <v>0</v>
      </c>
      <c r="S440" s="307">
        <f t="shared" ca="1" si="195"/>
        <v>2.9792999999999985</v>
      </c>
      <c r="T440" s="304">
        <f t="shared" ca="1" si="175"/>
        <v>29.226932999999988</v>
      </c>
      <c r="U440" s="311">
        <f t="shared" ca="1" si="176"/>
        <v>0</v>
      </c>
      <c r="V440" s="306">
        <f t="shared" ca="1" si="177"/>
        <v>1.131608894257278</v>
      </c>
      <c r="W440" s="304">
        <f t="shared" ca="1" si="178"/>
        <v>19.836643908068719</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3.1192644562107716</v>
      </c>
      <c r="AH440" s="304">
        <f t="shared" ca="1" si="202"/>
        <v>-6.607261164440283</v>
      </c>
    </row>
    <row r="441" spans="1:34" x14ac:dyDescent="0.2">
      <c r="A441" s="347">
        <f t="shared" ca="1" si="180"/>
        <v>0.1</v>
      </c>
      <c r="B441" s="304">
        <f t="shared" ca="1" si="181"/>
        <v>28.900000000000102</v>
      </c>
      <c r="D441" s="306">
        <f t="shared" ca="1" si="182"/>
        <v>-0.85762037172987005</v>
      </c>
      <c r="E441" s="307">
        <f t="shared" ca="1" si="183"/>
        <v>-3.2073090755341775</v>
      </c>
      <c r="F441" s="304">
        <f t="shared" ca="1" si="184"/>
        <v>3.319991597581232</v>
      </c>
      <c r="G441" s="306">
        <f t="shared" ca="1" si="185"/>
        <v>11.831887658264769</v>
      </c>
      <c r="H441" s="307">
        <f t="shared" ca="1" si="186"/>
        <v>-92.072932789500697</v>
      </c>
      <c r="I441" s="304">
        <f t="shared" ca="1" si="187"/>
        <v>92.830051804454527</v>
      </c>
      <c r="J441" s="306">
        <f t="shared" ca="1" si="188"/>
        <v>676.27146638474778</v>
      </c>
      <c r="K441" s="307">
        <f t="shared" ca="1" si="189"/>
        <v>783.39767026490404</v>
      </c>
      <c r="L441" s="304">
        <f t="shared" ca="1" si="174"/>
        <v>1034.9178740473353</v>
      </c>
      <c r="M441" s="306">
        <f t="shared" ca="1" si="190"/>
        <v>-1.4429911648632057</v>
      </c>
      <c r="N441" s="304">
        <f t="shared" ca="1" si="191"/>
        <v>-82.677303621328051</v>
      </c>
      <c r="P441" s="310">
        <f t="shared" ca="1" si="192"/>
        <v>23</v>
      </c>
      <c r="Q441" s="304">
        <f t="shared" ca="1" si="193"/>
        <v>0</v>
      </c>
      <c r="R441" s="306">
        <f t="shared" ca="1" si="194"/>
        <v>0</v>
      </c>
      <c r="S441" s="307">
        <f t="shared" ca="1" si="195"/>
        <v>2.9792999999999985</v>
      </c>
      <c r="T441" s="304">
        <f t="shared" ca="1" si="175"/>
        <v>29.226932999999988</v>
      </c>
      <c r="U441" s="311">
        <f t="shared" ca="1" si="176"/>
        <v>0</v>
      </c>
      <c r="V441" s="306">
        <f t="shared" ca="1" si="177"/>
        <v>1.1326510817624869</v>
      </c>
      <c r="W441" s="304">
        <f t="shared" ca="1" si="178"/>
        <v>19.986934957194567</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3.0701230331222131</v>
      </c>
      <c r="AH441" s="304">
        <f t="shared" ca="1" si="202"/>
        <v>-6.6581559118144291</v>
      </c>
    </row>
    <row r="442" spans="1:34" x14ac:dyDescent="0.2">
      <c r="A442" s="347">
        <f t="shared" ca="1" si="180"/>
        <v>0.1</v>
      </c>
      <c r="B442" s="304">
        <f t="shared" ca="1" si="181"/>
        <v>29.000000000000103</v>
      </c>
      <c r="D442" s="306">
        <f t="shared" ca="1" si="182"/>
        <v>-0.85506160801207742</v>
      </c>
      <c r="E442" s="307">
        <f t="shared" ca="1" si="183"/>
        <v>-3.1561141417797769</v>
      </c>
      <c r="F442" s="304">
        <f t="shared" ca="1" si="184"/>
        <v>3.2698909506952214</v>
      </c>
      <c r="G442" s="306">
        <f t="shared" ca="1" si="185"/>
        <v>11.746381497463561</v>
      </c>
      <c r="H442" s="307">
        <f t="shared" ca="1" si="186"/>
        <v>-92.388544203678677</v>
      </c>
      <c r="I442" s="304">
        <f t="shared" ca="1" si="187"/>
        <v>93.132274633228207</v>
      </c>
      <c r="J442" s="306">
        <f t="shared" ca="1" si="188"/>
        <v>677.45037984253418</v>
      </c>
      <c r="K442" s="307">
        <f t="shared" ca="1" si="189"/>
        <v>774.17459641524511</v>
      </c>
      <c r="L442" s="304">
        <f t="shared" ca="1" si="174"/>
        <v>1028.729956248724</v>
      </c>
      <c r="M442" s="306">
        <f t="shared" ca="1" si="190"/>
        <v>-1.4443337269300505</v>
      </c>
      <c r="N442" s="304">
        <f t="shared" ca="1" si="191"/>
        <v>-82.754226761492617</v>
      </c>
      <c r="P442" s="310">
        <f t="shared" ca="1" si="192"/>
        <v>23</v>
      </c>
      <c r="Q442" s="304">
        <f t="shared" ca="1" si="193"/>
        <v>0</v>
      </c>
      <c r="R442" s="306">
        <f t="shared" ca="1" si="194"/>
        <v>0</v>
      </c>
      <c r="S442" s="307">
        <f t="shared" ca="1" si="195"/>
        <v>2.9792999999999985</v>
      </c>
      <c r="T442" s="304">
        <f t="shared" ca="1" si="175"/>
        <v>29.226932999999988</v>
      </c>
      <c r="U442" s="311">
        <f t="shared" ca="1" si="176"/>
        <v>0</v>
      </c>
      <c r="V442" s="306">
        <f t="shared" ca="1" si="177"/>
        <v>1.1336978039770282</v>
      </c>
      <c r="W442" s="304">
        <f t="shared" ca="1" si="178"/>
        <v>20.135879107921657</v>
      </c>
      <c r="Y442" s="314" t="str">
        <f t="shared" ca="1" si="196"/>
        <v/>
      </c>
      <c r="Z442" s="315" t="str">
        <f t="shared" ca="1" si="197"/>
        <v/>
      </c>
      <c r="AA442" s="316" t="str">
        <f t="shared" ca="1" si="198"/>
        <v/>
      </c>
      <c r="AC442" s="310">
        <f t="shared" ca="1" si="199"/>
        <v>29.000000000000103</v>
      </c>
      <c r="AD442" s="323">
        <f t="shared" ca="1" si="200"/>
        <v>677.45037984253418</v>
      </c>
      <c r="AE442" s="324" t="e">
        <f t="shared" ca="1" si="179"/>
        <v>#N/A</v>
      </c>
      <c r="AG442" s="306">
        <f t="shared" ca="1" si="201"/>
        <v>3.0213889458556684</v>
      </c>
      <c r="AH442" s="304">
        <f t="shared" ca="1" si="202"/>
        <v>-6.7086009992933162</v>
      </c>
    </row>
    <row r="443" spans="1:34" x14ac:dyDescent="0.2">
      <c r="A443" s="347">
        <f t="shared" ca="1" si="180"/>
        <v>0.1</v>
      </c>
      <c r="B443" s="304">
        <f t="shared" ca="1" si="181"/>
        <v>29.100000000000104</v>
      </c>
      <c r="D443" s="306">
        <f t="shared" ca="1" si="182"/>
        <v>-0.85243299208346313</v>
      </c>
      <c r="E443" s="307">
        <f t="shared" ca="1" si="183"/>
        <v>-3.1053783948884224</v>
      </c>
      <c r="F443" s="304">
        <f t="shared" ca="1" si="184"/>
        <v>3.2202510742847616</v>
      </c>
      <c r="G443" s="306">
        <f t="shared" ca="1" si="185"/>
        <v>11.661138198255214</v>
      </c>
      <c r="H443" s="307">
        <f t="shared" ca="1" si="186"/>
        <v>-92.699082043167522</v>
      </c>
      <c r="I443" s="304">
        <f t="shared" ca="1" si="187"/>
        <v>93.429663146801033</v>
      </c>
      <c r="J443" s="306">
        <f t="shared" ca="1" si="188"/>
        <v>678.62075582732007</v>
      </c>
      <c r="K443" s="307">
        <f t="shared" ca="1" si="189"/>
        <v>764.92021510290283</v>
      </c>
      <c r="L443" s="304">
        <f t="shared" ca="1" si="174"/>
        <v>1022.560054819625</v>
      </c>
      <c r="M443" s="306">
        <f t="shared" ca="1" si="190"/>
        <v>-1.4456580326133017</v>
      </c>
      <c r="N443" s="304">
        <f t="shared" ca="1" si="191"/>
        <v>-82.830103887928104</v>
      </c>
      <c r="P443" s="310">
        <f t="shared" ca="1" si="192"/>
        <v>23</v>
      </c>
      <c r="Q443" s="304">
        <f t="shared" ca="1" si="193"/>
        <v>0</v>
      </c>
      <c r="R443" s="306">
        <f t="shared" ca="1" si="194"/>
        <v>0</v>
      </c>
      <c r="S443" s="307">
        <f t="shared" ca="1" si="195"/>
        <v>2.9792999999999985</v>
      </c>
      <c r="T443" s="304">
        <f t="shared" ca="1" si="175"/>
        <v>29.226932999999988</v>
      </c>
      <c r="U443" s="311">
        <f t="shared" ca="1" si="176"/>
        <v>0</v>
      </c>
      <c r="V443" s="306">
        <f t="shared" ca="1" si="177"/>
        <v>1.1347490138373342</v>
      </c>
      <c r="W443" s="304">
        <f t="shared" ca="1" si="178"/>
        <v>20.283469786271382</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2.9730658578854401</v>
      </c>
      <c r="AH443" s="304">
        <f t="shared" ca="1" si="202"/>
        <v>-6.7585940012491745</v>
      </c>
    </row>
    <row r="444" spans="1:34" x14ac:dyDescent="0.2">
      <c r="A444" s="347">
        <f t="shared" ca="1" si="180"/>
        <v>0.1</v>
      </c>
      <c r="B444" s="304">
        <f t="shared" ca="1" si="181"/>
        <v>29.200000000000106</v>
      </c>
      <c r="D444" s="306">
        <f t="shared" ca="1" si="182"/>
        <v>-0.84973630154069701</v>
      </c>
      <c r="E444" s="307">
        <f t="shared" ca="1" si="183"/>
        <v>-3.0551040548199113</v>
      </c>
      <c r="F444" s="304">
        <f t="shared" ca="1" si="184"/>
        <v>3.1710743554721521</v>
      </c>
      <c r="G444" s="306">
        <f t="shared" ca="1" si="185"/>
        <v>11.576164568101145</v>
      </c>
      <c r="H444" s="307">
        <f t="shared" ca="1" si="186"/>
        <v>-93.004592448649518</v>
      </c>
      <c r="I444" s="304">
        <f t="shared" ca="1" si="187"/>
        <v>93.72225884306863</v>
      </c>
      <c r="J444" s="306">
        <f t="shared" ca="1" si="188"/>
        <v>679.78262096563788</v>
      </c>
      <c r="K444" s="307">
        <f t="shared" ca="1" si="189"/>
        <v>755.63503137831196</v>
      </c>
      <c r="L444" s="304">
        <f t="shared" ca="1" si="174"/>
        <v>1016.4097168037182</v>
      </c>
      <c r="M444" s="306">
        <f t="shared" ca="1" si="190"/>
        <v>-1.4469644517787961</v>
      </c>
      <c r="N444" s="304">
        <f t="shared" ca="1" si="191"/>
        <v>-82.904956192385939</v>
      </c>
      <c r="P444" s="310">
        <f t="shared" ca="1" si="192"/>
        <v>23</v>
      </c>
      <c r="Q444" s="304">
        <f t="shared" ca="1" si="193"/>
        <v>0</v>
      </c>
      <c r="R444" s="306">
        <f t="shared" ca="1" si="194"/>
        <v>0</v>
      </c>
      <c r="S444" s="307">
        <f t="shared" ca="1" si="195"/>
        <v>2.9792999999999985</v>
      </c>
      <c r="T444" s="304">
        <f t="shared" ca="1" si="175"/>
        <v>29.226932999999988</v>
      </c>
      <c r="U444" s="311">
        <f t="shared" ca="1" si="176"/>
        <v>0</v>
      </c>
      <c r="V444" s="306">
        <f t="shared" ca="1" si="177"/>
        <v>1.1358046646571853</v>
      </c>
      <c r="W444" s="304">
        <f t="shared" ca="1" si="178"/>
        <v>20.429701056961871</v>
      </c>
      <c r="Y444" s="314" t="str">
        <f t="shared" ca="1" si="196"/>
        <v/>
      </c>
      <c r="Z444" s="315" t="str">
        <f t="shared" ca="1" si="197"/>
        <v/>
      </c>
      <c r="AA444" s="316" t="str">
        <f t="shared" ca="1" si="198"/>
        <v/>
      </c>
      <c r="AC444" s="310" t="e">
        <f t="shared" ca="1" si="199"/>
        <v>#N/A</v>
      </c>
      <c r="AD444" s="323" t="e">
        <f t="shared" ca="1" si="200"/>
        <v>#N/A</v>
      </c>
      <c r="AE444" s="324" t="e">
        <f t="shared" ca="1" si="179"/>
        <v>#N/A</v>
      </c>
      <c r="AG444" s="306">
        <f t="shared" ca="1" si="201"/>
        <v>2.925157169350042</v>
      </c>
      <c r="AH444" s="304">
        <f t="shared" ca="1" si="202"/>
        <v>-6.8081327111305985</v>
      </c>
    </row>
    <row r="445" spans="1:34" x14ac:dyDescent="0.2">
      <c r="A445" s="347">
        <f t="shared" ca="1" si="180"/>
        <v>0.1</v>
      </c>
      <c r="B445" s="304">
        <f t="shared" ca="1" si="181"/>
        <v>29.300000000000107</v>
      </c>
      <c r="D445" s="306">
        <f t="shared" ca="1" si="182"/>
        <v>-0.84697330049390329</v>
      </c>
      <c r="E445" s="307">
        <f t="shared" ca="1" si="183"/>
        <v>-3.0052931245997145</v>
      </c>
      <c r="F445" s="304">
        <f t="shared" ca="1" si="184"/>
        <v>3.1223629732168954</v>
      </c>
      <c r="G445" s="306">
        <f t="shared" ca="1" si="185"/>
        <v>11.491467238051754</v>
      </c>
      <c r="H445" s="307">
        <f t="shared" ca="1" si="186"/>
        <v>-93.30512176110949</v>
      </c>
      <c r="I445" s="304">
        <f t="shared" ca="1" si="187"/>
        <v>94.010103532219802</v>
      </c>
      <c r="J445" s="306">
        <f t="shared" ca="1" si="188"/>
        <v>680.93600255594549</v>
      </c>
      <c r="K445" s="307">
        <f t="shared" ca="1" si="189"/>
        <v>746.31954566782406</v>
      </c>
      <c r="L445" s="304">
        <f t="shared" ca="1" si="174"/>
        <v>1010.28050749418</v>
      </c>
      <c r="M445" s="306">
        <f t="shared" ca="1" si="190"/>
        <v>-1.448253343818948</v>
      </c>
      <c r="N445" s="304">
        <f t="shared" ca="1" si="191"/>
        <v>-82.978804266534652</v>
      </c>
      <c r="P445" s="310">
        <f t="shared" ca="1" si="192"/>
        <v>23</v>
      </c>
      <c r="Q445" s="304">
        <f t="shared" ca="1" si="193"/>
        <v>0</v>
      </c>
      <c r="R445" s="306">
        <f t="shared" ca="1" si="194"/>
        <v>0</v>
      </c>
      <c r="S445" s="307">
        <f t="shared" ca="1" si="195"/>
        <v>2.9792999999999985</v>
      </c>
      <c r="T445" s="304">
        <f t="shared" ca="1" si="175"/>
        <v>29.226932999999988</v>
      </c>
      <c r="U445" s="311">
        <f t="shared" ca="1" si="176"/>
        <v>0</v>
      </c>
      <c r="V445" s="306">
        <f t="shared" ca="1" si="177"/>
        <v>1.1368647101303335</v>
      </c>
      <c r="W445" s="304">
        <f t="shared" ca="1" si="178"/>
        <v>20.574567609375215</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2.8776660236328269</v>
      </c>
      <c r="AH445" s="304">
        <f t="shared" ca="1" si="202"/>
        <v>-6.8572151367643013</v>
      </c>
    </row>
    <row r="446" spans="1:34" x14ac:dyDescent="0.2">
      <c r="A446" s="347">
        <f t="shared" ca="1" si="180"/>
        <v>0.1</v>
      </c>
      <c r="B446" s="304">
        <f t="shared" ca="1" si="181"/>
        <v>29.400000000000109</v>
      </c>
      <c r="D446" s="306">
        <f t="shared" ca="1" si="182"/>
        <v>-0.84414573895507306</v>
      </c>
      <c r="E446" s="307">
        <f t="shared" ca="1" si="183"/>
        <v>-2.9559473950797015</v>
      </c>
      <c r="F446" s="304">
        <f t="shared" ca="1" si="184"/>
        <v>3.0741189032102318</v>
      </c>
      <c r="G446" s="306">
        <f t="shared" ca="1" si="185"/>
        <v>11.407052664156247</v>
      </c>
      <c r="H446" s="307">
        <f t="shared" ca="1" si="186"/>
        <v>-93.600716500617466</v>
      </c>
      <c r="I446" s="304">
        <f t="shared" ca="1" si="187"/>
        <v>94.293239311796881</v>
      </c>
      <c r="J446" s="306">
        <f t="shared" ca="1" si="188"/>
        <v>682.08092855105588</v>
      </c>
      <c r="K446" s="307">
        <f t="shared" ca="1" si="189"/>
        <v>736.97425375473767</v>
      </c>
      <c r="L446" s="304">
        <f t="shared" ca="1" si="174"/>
        <v>1004.1740107124975</v>
      </c>
      <c r="M446" s="306">
        <f t="shared" ca="1" si="190"/>
        <v>-1.4495250580203398</v>
      </c>
      <c r="N446" s="304">
        <f t="shared" ca="1" si="191"/>
        <v>-83.051668123021258</v>
      </c>
      <c r="P446" s="310">
        <f t="shared" ca="1" si="192"/>
        <v>23</v>
      </c>
      <c r="Q446" s="304">
        <f t="shared" ca="1" si="193"/>
        <v>0</v>
      </c>
      <c r="R446" s="306">
        <f t="shared" ca="1" si="194"/>
        <v>0</v>
      </c>
      <c r="S446" s="307">
        <f t="shared" ca="1" si="195"/>
        <v>2.9792999999999985</v>
      </c>
      <c r="T446" s="304">
        <f t="shared" ca="1" si="175"/>
        <v>29.226932999999988</v>
      </c>
      <c r="U446" s="311">
        <f t="shared" ca="1" si="176"/>
        <v>0</v>
      </c>
      <c r="V446" s="306">
        <f t="shared" ca="1" si="177"/>
        <v>1.1379291043329438</v>
      </c>
      <c r="W446" s="304">
        <f t="shared" ca="1" si="178"/>
        <v>20.718064743504076</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2.8305953138622133</v>
      </c>
      <c r="AH446" s="304">
        <f t="shared" ca="1" si="202"/>
        <v>-6.9058394956450257</v>
      </c>
    </row>
    <row r="447" spans="1:34" x14ac:dyDescent="0.2">
      <c r="A447" s="347">
        <f t="shared" ca="1" si="180"/>
        <v>0.1</v>
      </c>
      <c r="B447" s="304">
        <f t="shared" ca="1" si="181"/>
        <v>29.50000000000011</v>
      </c>
      <c r="D447" s="306">
        <f t="shared" ca="1" si="182"/>
        <v>-0.84125535225729509</v>
      </c>
      <c r="E447" s="307">
        <f t="shared" ca="1" si="183"/>
        <v>-2.9070684497066335</v>
      </c>
      <c r="F447" s="304">
        <f t="shared" ca="1" si="184"/>
        <v>3.0263439227855899</v>
      </c>
      <c r="G447" s="306">
        <f t="shared" ca="1" si="185"/>
        <v>11.322927128930518</v>
      </c>
      <c r="H447" s="307">
        <f t="shared" ca="1" si="186"/>
        <v>-93.891423345588123</v>
      </c>
      <c r="I447" s="304">
        <f t="shared" ca="1" si="187"/>
        <v>94.571708542394006</v>
      </c>
      <c r="J447" s="306">
        <f t="shared" ca="1" si="188"/>
        <v>683.21742754071022</v>
      </c>
      <c r="K447" s="307">
        <f t="shared" ca="1" si="189"/>
        <v>727.59964676242737</v>
      </c>
      <c r="L447" s="304">
        <f t="shared" ca="1" si="174"/>
        <v>998.09182907393586</v>
      </c>
      <c r="M447" s="306">
        <f t="shared" ca="1" si="190"/>
        <v>-1.450779933916186</v>
      </c>
      <c r="N447" s="304">
        <f t="shared" ca="1" si="191"/>
        <v>-83.123567215665929</v>
      </c>
      <c r="P447" s="310">
        <f t="shared" ca="1" si="192"/>
        <v>23</v>
      </c>
      <c r="Q447" s="304">
        <f t="shared" ca="1" si="193"/>
        <v>0</v>
      </c>
      <c r="R447" s="306">
        <f t="shared" ca="1" si="194"/>
        <v>0</v>
      </c>
      <c r="S447" s="307">
        <f t="shared" ca="1" si="195"/>
        <v>2.9792999999999985</v>
      </c>
      <c r="T447" s="304">
        <f t="shared" ca="1" si="175"/>
        <v>29.226932999999988</v>
      </c>
      <c r="U447" s="311">
        <f t="shared" ca="1" si="176"/>
        <v>0</v>
      </c>
      <c r="V447" s="306">
        <f t="shared" ca="1" si="177"/>
        <v>1.1389978017258555</v>
      </c>
      <c r="W447" s="304">
        <f t="shared" ca="1" si="178"/>
        <v>20.860188355891953</v>
      </c>
      <c r="Y447" s="314" t="str">
        <f t="shared" ca="1" si="196"/>
        <v/>
      </c>
      <c r="Z447" s="315" t="str">
        <f t="shared" ca="1" si="197"/>
        <v/>
      </c>
      <c r="AA447" s="316" t="str">
        <f t="shared" ca="1" si="198"/>
        <v/>
      </c>
      <c r="AC447" s="310" t="e">
        <f t="shared" ca="1" si="199"/>
        <v>#N/A</v>
      </c>
      <c r="AD447" s="323" t="e">
        <f t="shared" ca="1" si="200"/>
        <v>#N/A</v>
      </c>
      <c r="AE447" s="324" t="e">
        <f t="shared" ca="1" si="179"/>
        <v>#N/A</v>
      </c>
      <c r="AG447" s="306">
        <f t="shared" ca="1" si="201"/>
        <v>2.7839476893316988</v>
      </c>
      <c r="AH447" s="304">
        <f t="shared" ca="1" si="202"/>
        <v>-6.9540042102185371</v>
      </c>
    </row>
    <row r="448" spans="1:34" x14ac:dyDescent="0.2">
      <c r="A448" s="347">
        <f t="shared" ca="1" si="180"/>
        <v>0.1</v>
      </c>
      <c r="B448" s="304">
        <f t="shared" ca="1" si="181"/>
        <v>29.600000000000112</v>
      </c>
      <c r="D448" s="306">
        <f t="shared" ca="1" si="182"/>
        <v>-0.8383038605041867</v>
      </c>
      <c r="E448" s="307">
        <f t="shared" ca="1" si="183"/>
        <v>-2.8586576692935308</v>
      </c>
      <c r="F448" s="304">
        <f t="shared" ca="1" si="184"/>
        <v>2.9790396158404717</v>
      </c>
      <c r="G448" s="306">
        <f t="shared" ca="1" si="185"/>
        <v>11.239096742880099</v>
      </c>
      <c r="H448" s="307">
        <f t="shared" ca="1" si="186"/>
        <v>-94.177289112517471</v>
      </c>
      <c r="I448" s="304">
        <f t="shared" ca="1" si="187"/>
        <v>94.845553823985441</v>
      </c>
      <c r="J448" s="306">
        <f t="shared" ca="1" si="188"/>
        <v>684.34552873430073</v>
      </c>
      <c r="K448" s="307">
        <f t="shared" ca="1" si="189"/>
        <v>718.19621113952212</v>
      </c>
      <c r="L448" s="304">
        <f t="shared" ca="1" si="174"/>
        <v>992.03558423767981</v>
      </c>
      <c r="M448" s="306">
        <f t="shared" ca="1" si="190"/>
        <v>-1.4520183016243824</v>
      </c>
      <c r="N448" s="304">
        <f t="shared" ca="1" si="191"/>
        <v>-83.19452045883088</v>
      </c>
      <c r="P448" s="310">
        <f t="shared" ca="1" si="192"/>
        <v>23</v>
      </c>
      <c r="Q448" s="304">
        <f t="shared" ca="1" si="193"/>
        <v>0</v>
      </c>
      <c r="R448" s="306">
        <f t="shared" ca="1" si="194"/>
        <v>0</v>
      </c>
      <c r="S448" s="307">
        <f t="shared" ca="1" si="195"/>
        <v>2.9792999999999985</v>
      </c>
      <c r="T448" s="304">
        <f t="shared" ca="1" si="175"/>
        <v>29.226932999999988</v>
      </c>
      <c r="U448" s="311">
        <f t="shared" ca="1" si="176"/>
        <v>0</v>
      </c>
      <c r="V448" s="306">
        <f t="shared" ca="1" si="177"/>
        <v>1.1400707571566604</v>
      </c>
      <c r="W448" s="304">
        <f t="shared" ca="1" si="178"/>
        <v>21.000934925580388</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2.7377255618396479</v>
      </c>
      <c r="AH448" s="304">
        <f t="shared" ca="1" si="202"/>
        <v>-7.001707903162476</v>
      </c>
    </row>
    <row r="449" spans="1:34" x14ac:dyDescent="0.2">
      <c r="A449" s="347">
        <f t="shared" ca="1" si="180"/>
        <v>0.1</v>
      </c>
      <c r="B449" s="304">
        <f t="shared" ca="1" si="181"/>
        <v>29.700000000000113</v>
      </c>
      <c r="D449" s="306">
        <f t="shared" ca="1" si="182"/>
        <v>-0.83529296804890629</v>
      </c>
      <c r="E449" s="307">
        <f t="shared" ca="1" si="183"/>
        <v>-2.8107162367893306</v>
      </c>
      <c r="F449" s="304">
        <f t="shared" ca="1" si="184"/>
        <v>2.9322073777656192</v>
      </c>
      <c r="G449" s="306">
        <f t="shared" ca="1" si="185"/>
        <v>11.155567446075208</v>
      </c>
      <c r="H449" s="307">
        <f t="shared" ca="1" si="186"/>
        <v>-94.458360736196397</v>
      </c>
      <c r="I449" s="304">
        <f t="shared" ca="1" si="187"/>
        <v>95.11481797287604</v>
      </c>
      <c r="J449" s="306">
        <f t="shared" ca="1" si="188"/>
        <v>685.46526194374849</v>
      </c>
      <c r="K449" s="307">
        <f t="shared" ca="1" si="189"/>
        <v>708.76442864708645</v>
      </c>
      <c r="L449" s="304">
        <f t="shared" ca="1" si="174"/>
        <v>986.00691713955155</v>
      </c>
      <c r="M449" s="306">
        <f t="shared" ca="1" si="190"/>
        <v>-1.4532404821718172</v>
      </c>
      <c r="N449" s="304">
        <f t="shared" ca="1" si="191"/>
        <v>-83.264546246001885</v>
      </c>
      <c r="P449" s="310">
        <f t="shared" ca="1" si="192"/>
        <v>23</v>
      </c>
      <c r="Q449" s="304">
        <f t="shared" ca="1" si="193"/>
        <v>0</v>
      </c>
      <c r="R449" s="306">
        <f t="shared" ca="1" si="194"/>
        <v>0</v>
      </c>
      <c r="S449" s="307">
        <f t="shared" ca="1" si="195"/>
        <v>2.9792999999999985</v>
      </c>
      <c r="T449" s="304">
        <f t="shared" ca="1" si="175"/>
        <v>29.226932999999988</v>
      </c>
      <c r="U449" s="311">
        <f t="shared" ca="1" si="176"/>
        <v>0</v>
      </c>
      <c r="V449" s="306">
        <f t="shared" ca="1" si="177"/>
        <v>1.1411479258616104</v>
      </c>
      <c r="W449" s="304">
        <f t="shared" ca="1" si="178"/>
        <v>21.140301500076539</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2.6919311119488638</v>
      </c>
      <c r="AH449" s="304">
        <f t="shared" ca="1" si="202"/>
        <v>-7.0489493926695532</v>
      </c>
    </row>
    <row r="450" spans="1:34" x14ac:dyDescent="0.2">
      <c r="A450" s="347">
        <f t="shared" ca="1" si="180"/>
        <v>0.1</v>
      </c>
      <c r="B450" s="304">
        <f t="shared" ca="1" si="181"/>
        <v>29.800000000000114</v>
      </c>
      <c r="D450" s="306">
        <f t="shared" ca="1" si="182"/>
        <v>-0.83222436300212377</v>
      </c>
      <c r="E450" s="307">
        <f t="shared" ca="1" si="183"/>
        <v>-2.7632451420422388</v>
      </c>
      <c r="F450" s="304">
        <f t="shared" ca="1" si="184"/>
        <v>2.8858484203773287</v>
      </c>
      <c r="G450" s="306">
        <f t="shared" ca="1" si="185"/>
        <v>11.072345009774995</v>
      </c>
      <c r="H450" s="307">
        <f t="shared" ca="1" si="186"/>
        <v>-94.734685250400616</v>
      </c>
      <c r="I450" s="304">
        <f t="shared" ca="1" si="187"/>
        <v>95.379543999266218</v>
      </c>
      <c r="J450" s="306">
        <f t="shared" ca="1" si="188"/>
        <v>686.57665756654103</v>
      </c>
      <c r="K450" s="307">
        <f t="shared" ca="1" si="189"/>
        <v>699.30477634775661</v>
      </c>
      <c r="L450" s="304">
        <f t="shared" ca="1" si="174"/>
        <v>980.00748820507965</v>
      </c>
      <c r="M450" s="306">
        <f t="shared" ca="1" si="190"/>
        <v>-1.4544467878055827</v>
      </c>
      <c r="N450" s="304">
        <f t="shared" ca="1" si="191"/>
        <v>-83.33366246761949</v>
      </c>
      <c r="P450" s="310">
        <f t="shared" ca="1" si="192"/>
        <v>23</v>
      </c>
      <c r="Q450" s="304">
        <f t="shared" ca="1" si="193"/>
        <v>0</v>
      </c>
      <c r="R450" s="306">
        <f t="shared" ca="1" si="194"/>
        <v>0</v>
      </c>
      <c r="S450" s="307">
        <f t="shared" ca="1" si="195"/>
        <v>2.9792999999999985</v>
      </c>
      <c r="T450" s="304">
        <f t="shared" ca="1" si="175"/>
        <v>29.226932999999988</v>
      </c>
      <c r="U450" s="311">
        <f t="shared" ca="1" si="176"/>
        <v>0</v>
      </c>
      <c r="V450" s="306">
        <f t="shared" ca="1" si="177"/>
        <v>1.1422292634673552</v>
      </c>
      <c r="W450" s="304">
        <f t="shared" ca="1" si="178"/>
        <v>21.278285681353438</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2.6465662951656634</v>
      </c>
      <c r="AH450" s="304">
        <f t="shared" ca="1" si="202"/>
        <v>-7.0957276877375728</v>
      </c>
    </row>
    <row r="451" spans="1:34" x14ac:dyDescent="0.2">
      <c r="A451" s="347">
        <f t="shared" ca="1" si="180"/>
        <v>0.1</v>
      </c>
      <c r="B451" s="304">
        <f t="shared" ca="1" si="181"/>
        <v>29.900000000000116</v>
      </c>
      <c r="D451" s="306">
        <f t="shared" ca="1" si="182"/>
        <v>-0.8290997167683114</v>
      </c>
      <c r="E451" s="307">
        <f t="shared" ca="1" si="183"/>
        <v>-2.7162451865525474</v>
      </c>
      <c r="F451" s="304">
        <f t="shared" ca="1" si="184"/>
        <v>2.8399637768491304</v>
      </c>
      <c r="G451" s="306">
        <f t="shared" ca="1" si="185"/>
        <v>10.989435038098165</v>
      </c>
      <c r="H451" s="307">
        <f t="shared" ca="1" si="186"/>
        <v>-95.006309769055875</v>
      </c>
      <c r="I451" s="304">
        <f t="shared" ca="1" si="187"/>
        <v>95.639775085423423</v>
      </c>
      <c r="J451" s="306">
        <f t="shared" ca="1" si="188"/>
        <v>687.67974656893466</v>
      </c>
      <c r="K451" s="307">
        <f t="shared" ca="1" si="189"/>
        <v>689.81772659678381</v>
      </c>
      <c r="L451" s="304">
        <f t="shared" ca="1" si="174"/>
        <v>974.03897754056504</v>
      </c>
      <c r="M451" s="306">
        <f t="shared" ca="1" si="190"/>
        <v>-1.4556375222916955</v>
      </c>
      <c r="N451" s="304">
        <f t="shared" ca="1" si="191"/>
        <v>-83.401886528194439</v>
      </c>
      <c r="P451" s="310">
        <f t="shared" ca="1" si="192"/>
        <v>23</v>
      </c>
      <c r="Q451" s="304">
        <f t="shared" ca="1" si="193"/>
        <v>0</v>
      </c>
      <c r="R451" s="306">
        <f t="shared" ca="1" si="194"/>
        <v>0</v>
      </c>
      <c r="S451" s="307">
        <f t="shared" ca="1" si="195"/>
        <v>2.9792999999999985</v>
      </c>
      <c r="T451" s="304">
        <f t="shared" ca="1" si="175"/>
        <v>29.226932999999988</v>
      </c>
      <c r="U451" s="311">
        <f t="shared" ca="1" si="176"/>
        <v>0</v>
      </c>
      <c r="V451" s="306">
        <f t="shared" ca="1" si="177"/>
        <v>1.1433147259925083</v>
      </c>
      <c r="W451" s="304">
        <f t="shared" ca="1" si="178"/>
        <v>21.414885611894878</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2.601632848038304</v>
      </c>
      <c r="AH451" s="304">
        <f t="shared" ca="1" si="202"/>
        <v>-7.1420419834704285</v>
      </c>
    </row>
    <row r="452" spans="1:34" x14ac:dyDescent="0.2">
      <c r="A452" s="347">
        <f t="shared" ca="1" si="180"/>
        <v>0.1</v>
      </c>
      <c r="B452" s="304">
        <f t="shared" ca="1" si="181"/>
        <v>30.000000000000117</v>
      </c>
      <c r="D452" s="306">
        <f t="shared" ca="1" si="182"/>
        <v>-0.82592068360969739</v>
      </c>
      <c r="E452" s="307">
        <f t="shared" ca="1" si="183"/>
        <v>-2.6697169882108076</v>
      </c>
      <c r="F452" s="304">
        <f t="shared" ca="1" si="184"/>
        <v>2.7945543066391991</v>
      </c>
      <c r="G452" s="306">
        <f t="shared" ca="1" si="185"/>
        <v>10.906842969737195</v>
      </c>
      <c r="H452" s="307">
        <f t="shared" ca="1" si="186"/>
        <v>-95.273281467876956</v>
      </c>
      <c r="I452" s="304">
        <f t="shared" ca="1" si="187"/>
        <v>95.895554564452112</v>
      </c>
      <c r="J452" s="306">
        <f t="shared" ca="1" si="188"/>
        <v>688.77456046932639</v>
      </c>
      <c r="K452" s="307">
        <f t="shared" ca="1" si="189"/>
        <v>680.30374703493715</v>
      </c>
      <c r="L452" s="304">
        <f t="shared" ref="L452:L515" ca="1" si="203">SQRT(pos_x^2+pos_z^2)</f>
        <v>968.10308509966512</v>
      </c>
      <c r="M452" s="306">
        <f t="shared" ca="1" si="190"/>
        <v>-1.4568129812018971</v>
      </c>
      <c r="N452" s="304">
        <f t="shared" ca="1" si="191"/>
        <v>-83.469235362740037</v>
      </c>
      <c r="P452" s="310">
        <f t="shared" ca="1" si="192"/>
        <v>23</v>
      </c>
      <c r="Q452" s="304">
        <f t="shared" ca="1" si="193"/>
        <v>0</v>
      </c>
      <c r="R452" s="306">
        <f t="shared" ca="1" si="194"/>
        <v>0</v>
      </c>
      <c r="S452" s="307">
        <f t="shared" ca="1" si="195"/>
        <v>2.9792999999999985</v>
      </c>
      <c r="T452" s="304">
        <f t="shared" ref="T452:T515" ca="1" si="204">m*g</f>
        <v>29.226932999999988</v>
      </c>
      <c r="U452" s="311">
        <f t="shared" ref="U452:U515" ca="1" si="205">IF(pos_xz&lt;L_rampe,Poids*COS(Beta),0)</f>
        <v>0</v>
      </c>
      <c r="V452" s="306">
        <f t="shared" ref="V452:V515" ca="1" si="206">Rho_moyen*(20000-Alt_rampe-pos_z)/(20000+Alt_rampe+pos_z)</f>
        <v>1.1444042698490555</v>
      </c>
      <c r="W452" s="304">
        <f t="shared" ref="W452:W515" ca="1" si="207">1/2*Rho*Sref*Cx*vit_xz^2</f>
        <v>21.550099960796604</v>
      </c>
      <c r="Y452" s="314" t="str">
        <f t="shared" ca="1" si="196"/>
        <v/>
      </c>
      <c r="Z452" s="315" t="str">
        <f t="shared" ca="1" si="197"/>
        <v/>
      </c>
      <c r="AA452" s="316" t="str">
        <f t="shared" ca="1" si="198"/>
        <v/>
      </c>
      <c r="AC452" s="310">
        <f t="shared" ca="1" si="199"/>
        <v>30.000000000000117</v>
      </c>
      <c r="AD452" s="323">
        <f t="shared" ca="1" si="200"/>
        <v>688.77456046932639</v>
      </c>
      <c r="AE452" s="324" t="e">
        <f t="shared" ref="AE452:AE515" ca="1" si="208">IF(t&lt;T_para, pos_z, NA())</f>
        <v>#N/A</v>
      </c>
      <c r="AG452" s="306">
        <f t="shared" ca="1" si="201"/>
        <v>2.5571322941744432</v>
      </c>
      <c r="AH452" s="304">
        <f t="shared" ca="1" si="202"/>
        <v>-7.1878916563940818</v>
      </c>
    </row>
    <row r="453" spans="1:34" x14ac:dyDescent="0.2">
      <c r="A453" s="347">
        <f t="shared" ref="A453:A516" ca="1" si="209">IF(B452+0.01&lt;=T_ini+ROUNDUP(Temps_fin_propu,0), 0.01, IF(K452&gt;0, 0.1, 0.0001))</f>
        <v>0.1</v>
      </c>
      <c r="B453" s="304">
        <f t="shared" ref="B453:B516" ca="1" si="210">B452+pas</f>
        <v>30.100000000000119</v>
      </c>
      <c r="D453" s="306">
        <f t="shared" ref="D453:D516" ca="1" si="211">IF(AND(L452&lt;L_rampe,Poussee&lt;Poids*SIN(M452)),0,(-W452+Poussee)/m*COS(M452)-U452/m*SIN(M452))</f>
        <v>-0.82268890023727992</v>
      </c>
      <c r="E453" s="307">
        <f t="shared" ref="E453:E516" ca="1" si="212">IF(AND(L452&lt;L_rampe,Poussee&lt;Poids*SIN(M452)),0,(-W452+Poussee)/m*SIN(M452)+U452/m*COS(M452)-Poids/m)</f>
        <v>-2.623660986017379</v>
      </c>
      <c r="F453" s="304">
        <f t="shared" ref="F453:F516" ca="1" si="213">SQRT(acc_x^2+acc_z^2)</f>
        <v>2.7496207004100239</v>
      </c>
      <c r="G453" s="306">
        <f t="shared" ref="G453:G516" ca="1" si="214">G452+acc_x*pas</f>
        <v>10.824574079713466</v>
      </c>
      <c r="H453" s="307">
        <f t="shared" ref="H453:H516" ca="1" si="215">H452+acc_z*pas</f>
        <v>-95.535647566478687</v>
      </c>
      <c r="I453" s="304">
        <f t="shared" ref="I453:I516" ca="1" si="216">SQRT(vit_x^2+vit_z^2)</f>
        <v>96.146925899654363</v>
      </c>
      <c r="J453" s="306">
        <f t="shared" ref="J453:J516" ca="1" si="217">J452+0.5*(vit_x+G452)*pas*(K452&gt;=0)</f>
        <v>689.86113132179889</v>
      </c>
      <c r="K453" s="307">
        <f t="shared" ref="K453:K516" ca="1" si="218">K452+0.5*(vit_z+H452)*pas</f>
        <v>670.76330058321935</v>
      </c>
      <c r="L453" s="304">
        <f t="shared" ca="1" si="203"/>
        <v>962.20153082287629</v>
      </c>
      <c r="M453" s="306">
        <f t="shared" ref="M453:M516" ca="1" si="219">IF(AND(L452&gt;L_rampe,G453&gt;0),ATAN2(G453,H453),$M$4)</f>
        <v>-1.457973452189081</v>
      </c>
      <c r="N453" s="304">
        <f t="shared" ref="N453:N516" ca="1" si="220">DEGREES(Beta)</f>
        <v>-83.535725452553052</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2.9792999999999985</v>
      </c>
      <c r="T453" s="304">
        <f t="shared" ca="1" si="204"/>
        <v>29.226932999999988</v>
      </c>
      <c r="U453" s="311">
        <f t="shared" ca="1" si="205"/>
        <v>0</v>
      </c>
      <c r="V453" s="306">
        <f t="shared" ca="1" si="206"/>
        <v>1.1454978518435983</v>
      </c>
      <c r="W453" s="304">
        <f t="shared" ca="1" si="207"/>
        <v>21.683927909934429</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2.5130659501772339</v>
      </c>
      <c r="AH453" s="304">
        <f t="shared" ref="AH453:AH516" ca="1" si="231">IF(AND(L452&lt;L_rampe,Poussee&lt;Poids*SIN(M452)), g*SIN(M452), (-W452+Poussee)/m)</f>
        <v>-7.2332762597914328</v>
      </c>
    </row>
    <row r="454" spans="1:34" x14ac:dyDescent="0.2">
      <c r="A454" s="347">
        <f t="shared" ca="1" si="209"/>
        <v>0.1</v>
      </c>
      <c r="B454" s="304">
        <f t="shared" ca="1" si="210"/>
        <v>30.20000000000012</v>
      </c>
      <c r="D454" s="306">
        <f t="shared" ca="1" si="211"/>
        <v>-0.81940598542821463</v>
      </c>
      <c r="E454" s="307">
        <f t="shared" ca="1" si="212"/>
        <v>-2.578077444779673</v>
      </c>
      <c r="F454" s="304">
        <f t="shared" ca="1" si="213"/>
        <v>2.7051634849371435</v>
      </c>
      <c r="G454" s="306">
        <f t="shared" ca="1" si="214"/>
        <v>10.742633481170644</v>
      </c>
      <c r="H454" s="307">
        <f t="shared" ca="1" si="215"/>
        <v>-95.793455310956659</v>
      </c>
      <c r="I454" s="304">
        <f t="shared" ca="1" si="216"/>
        <v>96.39393266447334</v>
      </c>
      <c r="J454" s="306">
        <f t="shared" ca="1" si="217"/>
        <v>690.93949169984307</v>
      </c>
      <c r="K454" s="307">
        <f t="shared" ca="1" si="218"/>
        <v>661.19684543934761</v>
      </c>
      <c r="L454" s="304">
        <f t="shared" ca="1" si="203"/>
        <v>956.3360547471699</v>
      </c>
      <c r="M454" s="306">
        <f t="shared" ca="1" si="219"/>
        <v>-1.4591192152518644</v>
      </c>
      <c r="N454" s="304">
        <f t="shared" ca="1" si="220"/>
        <v>-83.601372840372534</v>
      </c>
      <c r="P454" s="310">
        <f t="shared" ca="1" si="221"/>
        <v>23</v>
      </c>
      <c r="Q454" s="304">
        <f t="shared" ca="1" si="222"/>
        <v>0</v>
      </c>
      <c r="R454" s="306">
        <f t="shared" ca="1" si="223"/>
        <v>0</v>
      </c>
      <c r="S454" s="307">
        <f t="shared" ca="1" si="224"/>
        <v>2.9792999999999985</v>
      </c>
      <c r="T454" s="304">
        <f t="shared" ca="1" si="204"/>
        <v>29.226932999999988</v>
      </c>
      <c r="U454" s="311">
        <f t="shared" ca="1" si="205"/>
        <v>0</v>
      </c>
      <c r="V454" s="306">
        <f t="shared" ca="1" si="206"/>
        <v>1.1465954291784421</v>
      </c>
      <c r="W454" s="304">
        <f t="shared" ca="1" si="207"/>
        <v>21.816369140210067</v>
      </c>
      <c r="Y454" s="314" t="str">
        <f t="shared" ca="1" si="225"/>
        <v/>
      </c>
      <c r="Z454" s="315" t="str">
        <f t="shared" ca="1" si="226"/>
        <v/>
      </c>
      <c r="AA454" s="316" t="str">
        <f t="shared" ca="1" si="227"/>
        <v/>
      </c>
      <c r="AC454" s="310" t="e">
        <f t="shared" ca="1" si="228"/>
        <v>#N/A</v>
      </c>
      <c r="AD454" s="323" t="e">
        <f t="shared" ca="1" si="229"/>
        <v>#N/A</v>
      </c>
      <c r="AE454" s="324" t="e">
        <f t="shared" ca="1" si="208"/>
        <v>#N/A</v>
      </c>
      <c r="AG454" s="306">
        <f t="shared" ca="1" si="230"/>
        <v>2.469434931499813</v>
      </c>
      <c r="AH454" s="304">
        <f t="shared" ca="1" si="231"/>
        <v>-7.2781955190596586</v>
      </c>
    </row>
    <row r="455" spans="1:34" x14ac:dyDescent="0.2">
      <c r="A455" s="347">
        <f t="shared" ca="1" si="209"/>
        <v>0.1</v>
      </c>
      <c r="B455" s="304">
        <f t="shared" ca="1" si="210"/>
        <v>30.300000000000122</v>
      </c>
      <c r="D455" s="306">
        <f t="shared" ca="1" si="211"/>
        <v>-0.81607353966895746</v>
      </c>
      <c r="E455" s="307">
        <f t="shared" ca="1" si="212"/>
        <v>-2.5329664597834176</v>
      </c>
      <c r="F455" s="304">
        <f t="shared" ca="1" si="213"/>
        <v>2.6611830280038165</v>
      </c>
      <c r="G455" s="306">
        <f t="shared" ca="1" si="214"/>
        <v>10.661026127203749</v>
      </c>
      <c r="H455" s="307">
        <f t="shared" ca="1" si="215"/>
        <v>-96.046751956934997</v>
      </c>
      <c r="I455" s="304">
        <f t="shared" ca="1" si="216"/>
        <v>96.636618523010824</v>
      </c>
      <c r="J455" s="306">
        <f t="shared" ca="1" si="217"/>
        <v>692.00967468026181</v>
      </c>
      <c r="K455" s="307">
        <f t="shared" ca="1" si="218"/>
        <v>651.60483507595302</v>
      </c>
      <c r="L455" s="304">
        <f t="shared" ca="1" si="203"/>
        <v>950.50841708290079</v>
      </c>
      <c r="M455" s="306">
        <f t="shared" ca="1" si="219"/>
        <v>-1.4602505429887935</v>
      </c>
      <c r="N455" s="304">
        <f t="shared" ca="1" si="220"/>
        <v>-83.666193144944657</v>
      </c>
      <c r="P455" s="310">
        <f t="shared" ca="1" si="221"/>
        <v>23</v>
      </c>
      <c r="Q455" s="304">
        <f t="shared" ca="1" si="222"/>
        <v>0</v>
      </c>
      <c r="R455" s="306">
        <f t="shared" ca="1" si="223"/>
        <v>0</v>
      </c>
      <c r="S455" s="307">
        <f t="shared" ca="1" si="224"/>
        <v>2.9792999999999985</v>
      </c>
      <c r="T455" s="304">
        <f t="shared" ca="1" si="204"/>
        <v>29.226932999999988</v>
      </c>
      <c r="U455" s="311">
        <f t="shared" ca="1" si="205"/>
        <v>0</v>
      </c>
      <c r="V455" s="306">
        <f t="shared" ca="1" si="206"/>
        <v>1.1476969594525359</v>
      </c>
      <c r="W455" s="304">
        <f t="shared" ca="1" si="207"/>
        <v>21.947423817884207</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2.4262401582176141</v>
      </c>
      <c r="AH455" s="304">
        <f t="shared" ca="1" si="231"/>
        <v>-7.3226493270936386</v>
      </c>
    </row>
    <row r="456" spans="1:34" x14ac:dyDescent="0.2">
      <c r="A456" s="347">
        <f t="shared" ca="1" si="209"/>
        <v>0.1</v>
      </c>
      <c r="B456" s="304">
        <f t="shared" ca="1" si="210"/>
        <v>30.400000000000123</v>
      </c>
      <c r="D456" s="306">
        <f t="shared" ca="1" si="211"/>
        <v>-0.81269314482348021</v>
      </c>
      <c r="E456" s="307">
        <f t="shared" ca="1" si="212"/>
        <v>-2.4883279614346625</v>
      </c>
      <c r="F456" s="304">
        <f t="shared" ca="1" si="213"/>
        <v>2.6176795432788675</v>
      </c>
      <c r="G456" s="306">
        <f t="shared" ca="1" si="214"/>
        <v>10.579756812721401</v>
      </c>
      <c r="H456" s="307">
        <f t="shared" ca="1" si="215"/>
        <v>-96.295584753078458</v>
      </c>
      <c r="I456" s="304">
        <f t="shared" ca="1" si="216"/>
        <v>96.875027211111743</v>
      </c>
      <c r="J456" s="306">
        <f t="shared" ca="1" si="217"/>
        <v>693.07171382725812</v>
      </c>
      <c r="K456" s="307">
        <f t="shared" ca="1" si="218"/>
        <v>641.9877182404523</v>
      </c>
      <c r="L456" s="304">
        <f t="shared" ca="1" si="203"/>
        <v>944.72039825497325</v>
      </c>
      <c r="M456" s="306">
        <f t="shared" ca="1" si="219"/>
        <v>-1.4613677008426469</v>
      </c>
      <c r="N456" s="304">
        <f t="shared" ca="1" si="220"/>
        <v>-83.730201575020345</v>
      </c>
      <c r="P456" s="310">
        <f t="shared" ca="1" si="221"/>
        <v>23</v>
      </c>
      <c r="Q456" s="304">
        <f t="shared" ca="1" si="222"/>
        <v>0</v>
      </c>
      <c r="R456" s="306">
        <f t="shared" ca="1" si="223"/>
        <v>0</v>
      </c>
      <c r="S456" s="307">
        <f t="shared" ca="1" si="224"/>
        <v>2.9792999999999985</v>
      </c>
      <c r="T456" s="304">
        <f t="shared" ca="1" si="204"/>
        <v>29.226932999999988</v>
      </c>
      <c r="U456" s="311">
        <f t="shared" ca="1" si="205"/>
        <v>0</v>
      </c>
      <c r="V456" s="306">
        <f t="shared" ca="1" si="206"/>
        <v>1.1488024006622566</v>
      </c>
      <c r="W456" s="304">
        <f t="shared" ca="1" si="207"/>
        <v>22.077092581006593</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2.3834823607182862</v>
      </c>
      <c r="AH456" s="304">
        <f t="shared" ca="1" si="231"/>
        <v>-7.3666377396986604</v>
      </c>
    </row>
    <row r="457" spans="1:34" x14ac:dyDescent="0.2">
      <c r="A457" s="347">
        <f t="shared" ca="1" si="209"/>
        <v>0.1</v>
      </c>
      <c r="B457" s="304">
        <f t="shared" ca="1" si="210"/>
        <v>30.500000000000124</v>
      </c>
      <c r="D457" s="306">
        <f t="shared" ca="1" si="211"/>
        <v>-0.80926636382595685</v>
      </c>
      <c r="E457" s="307">
        <f t="shared" ca="1" si="212"/>
        <v>-2.444161719869193</v>
      </c>
      <c r="F457" s="304">
        <f t="shared" ca="1" si="213"/>
        <v>2.5746530951749631</v>
      </c>
      <c r="G457" s="306">
        <f t="shared" ca="1" si="214"/>
        <v>10.498830176338805</v>
      </c>
      <c r="H457" s="307">
        <f t="shared" ca="1" si="215"/>
        <v>-96.540000925065371</v>
      </c>
      <c r="I457" s="304">
        <f t="shared" ca="1" si="216"/>
        <v>97.10920251800664</v>
      </c>
      <c r="J457" s="306">
        <f t="shared" ca="1" si="217"/>
        <v>694.12564317671115</v>
      </c>
      <c r="K457" s="307">
        <f t="shared" ca="1" si="218"/>
        <v>632.34593895654507</v>
      </c>
      <c r="L457" s="304">
        <f t="shared" ca="1" si="203"/>
        <v>938.97379890512252</v>
      </c>
      <c r="M457" s="306">
        <f t="shared" ca="1" si="219"/>
        <v>-1.4624709473352815</v>
      </c>
      <c r="N457" s="304">
        <f t="shared" ca="1" si="220"/>
        <v>-83.793412942810917</v>
      </c>
      <c r="P457" s="310">
        <f t="shared" ca="1" si="221"/>
        <v>23</v>
      </c>
      <c r="Q457" s="304">
        <f t="shared" ca="1" si="222"/>
        <v>0</v>
      </c>
      <c r="R457" s="306">
        <f t="shared" ca="1" si="223"/>
        <v>0</v>
      </c>
      <c r="S457" s="307">
        <f t="shared" ca="1" si="224"/>
        <v>2.9792999999999985</v>
      </c>
      <c r="T457" s="304">
        <f t="shared" ca="1" si="204"/>
        <v>29.226932999999988</v>
      </c>
      <c r="U457" s="311">
        <f t="shared" ca="1" si="205"/>
        <v>0</v>
      </c>
      <c r="V457" s="306">
        <f t="shared" ca="1" si="206"/>
        <v>1.149911711202052</v>
      </c>
      <c r="W457" s="304">
        <f t="shared" ca="1" si="207"/>
        <v>22.205376525951834</v>
      </c>
      <c r="Y457" s="314" t="str">
        <f t="shared" ca="1" si="225"/>
        <v/>
      </c>
      <c r="Z457" s="315" t="str">
        <f t="shared" ca="1" si="226"/>
        <v/>
      </c>
      <c r="AA457" s="316" t="str">
        <f t="shared" ca="1" si="227"/>
        <v/>
      </c>
      <c r="AC457" s="310" t="e">
        <f t="shared" ca="1" si="228"/>
        <v>#N/A</v>
      </c>
      <c r="AD457" s="323" t="e">
        <f t="shared" ca="1" si="229"/>
        <v>#N/A</v>
      </c>
      <c r="AE457" s="324" t="e">
        <f t="shared" ca="1" si="208"/>
        <v>#N/A</v>
      </c>
      <c r="AG457" s="306">
        <f t="shared" ca="1" si="230"/>
        <v>2.3411620853086648</v>
      </c>
      <c r="AH457" s="304">
        <f t="shared" ca="1" si="231"/>
        <v>-7.4101609710356806</v>
      </c>
    </row>
    <row r="458" spans="1:34" x14ac:dyDescent="0.2">
      <c r="A458" s="347">
        <f t="shared" ca="1" si="209"/>
        <v>0.1</v>
      </c>
      <c r="B458" s="304">
        <f t="shared" ca="1" si="210"/>
        <v>30.600000000000126</v>
      </c>
      <c r="D458" s="306">
        <f t="shared" ca="1" si="211"/>
        <v>-0.80579474039722254</v>
      </c>
      <c r="E458" s="307">
        <f t="shared" ca="1" si="212"/>
        <v>-2.4004673495263242</v>
      </c>
      <c r="F458" s="304">
        <f t="shared" ca="1" si="213"/>
        <v>2.5321036036848419</v>
      </c>
      <c r="G458" s="306">
        <f t="shared" ca="1" si="214"/>
        <v>10.418250702299083</v>
      </c>
      <c r="H458" s="307">
        <f t="shared" ca="1" si="215"/>
        <v>-96.780047660017999</v>
      </c>
      <c r="I458" s="304">
        <f t="shared" ca="1" si="216"/>
        <v>97.33918826850423</v>
      </c>
      <c r="J458" s="306">
        <f t="shared" ca="1" si="217"/>
        <v>695.171497220643</v>
      </c>
      <c r="K458" s="307">
        <f t="shared" ca="1" si="218"/>
        <v>622.67993652729092</v>
      </c>
      <c r="L458" s="304">
        <f t="shared" ca="1" si="203"/>
        <v>933.27043985204068</v>
      </c>
      <c r="M458" s="306">
        <f t="shared" ca="1" si="219"/>
        <v>-1.4635605342934386</v>
      </c>
      <c r="N458" s="304">
        <f t="shared" ca="1" si="220"/>
        <v>-83.85584167692582</v>
      </c>
      <c r="P458" s="310">
        <f t="shared" ca="1" si="221"/>
        <v>23</v>
      </c>
      <c r="Q458" s="304">
        <f t="shared" ca="1" si="222"/>
        <v>0</v>
      </c>
      <c r="R458" s="306">
        <f t="shared" ca="1" si="223"/>
        <v>0</v>
      </c>
      <c r="S458" s="307">
        <f t="shared" ca="1" si="224"/>
        <v>2.9792999999999985</v>
      </c>
      <c r="T458" s="304">
        <f t="shared" ca="1" si="204"/>
        <v>29.226932999999988</v>
      </c>
      <c r="U458" s="311">
        <f t="shared" ca="1" si="205"/>
        <v>0</v>
      </c>
      <c r="V458" s="306">
        <f t="shared" ca="1" si="206"/>
        <v>1.151024849864942</v>
      </c>
      <c r="W458" s="304">
        <f t="shared" ca="1" si="207"/>
        <v>22.332277194069356</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2.2992796997384577</v>
      </c>
      <c r="AH458" s="304">
        <f t="shared" ca="1" si="231"/>
        <v>-7.4532193891020864</v>
      </c>
    </row>
    <row r="459" spans="1:34" x14ac:dyDescent="0.2">
      <c r="A459" s="347">
        <f t="shared" ca="1" si="209"/>
        <v>0.1</v>
      </c>
      <c r="B459" s="304">
        <f t="shared" ca="1" si="210"/>
        <v>30.700000000000127</v>
      </c>
      <c r="D459" s="306">
        <f t="shared" ca="1" si="211"/>
        <v>-0.80227979878438616</v>
      </c>
      <c r="E459" s="307">
        <f t="shared" ca="1" si="212"/>
        <v>-2.3572443136842454</v>
      </c>
      <c r="F459" s="304">
        <f t="shared" ca="1" si="213"/>
        <v>2.4900308491932832</v>
      </c>
      <c r="G459" s="306">
        <f t="shared" ca="1" si="214"/>
        <v>10.338022722420645</v>
      </c>
      <c r="H459" s="307">
        <f t="shared" ca="1" si="215"/>
        <v>-97.015772091386424</v>
      </c>
      <c r="I459" s="304">
        <f t="shared" ca="1" si="216"/>
        <v>97.565028305726017</v>
      </c>
      <c r="J459" s="306">
        <f t="shared" ca="1" si="217"/>
        <v>696.209310891879</v>
      </c>
      <c r="K459" s="307">
        <f t="shared" ca="1" si="218"/>
        <v>612.99014553972074</v>
      </c>
      <c r="L459" s="304">
        <f t="shared" ca="1" si="203"/>
        <v>927.61216200595015</v>
      </c>
      <c r="M459" s="306">
        <f t="shared" ca="1" si="219"/>
        <v>-1.4646367070659094</v>
      </c>
      <c r="N459" s="304">
        <f t="shared" ca="1" si="220"/>
        <v>-83.917501834815283</v>
      </c>
      <c r="P459" s="310">
        <f t="shared" ca="1" si="221"/>
        <v>23</v>
      </c>
      <c r="Q459" s="304">
        <f t="shared" ca="1" si="222"/>
        <v>0</v>
      </c>
      <c r="R459" s="306">
        <f t="shared" ca="1" si="223"/>
        <v>0</v>
      </c>
      <c r="S459" s="307">
        <f t="shared" ca="1" si="224"/>
        <v>2.9792999999999985</v>
      </c>
      <c r="T459" s="304">
        <f t="shared" ca="1" si="204"/>
        <v>29.226932999999988</v>
      </c>
      <c r="U459" s="311">
        <f t="shared" ca="1" si="205"/>
        <v>0</v>
      </c>
      <c r="V459" s="306">
        <f t="shared" ca="1" si="206"/>
        <v>1.1521417758428765</v>
      </c>
      <c r="W459" s="304">
        <f t="shared" ca="1" si="207"/>
        <v>22.457796558455581</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2.2578353986403039</v>
      </c>
      <c r="AH459" s="304">
        <f t="shared" ca="1" si="231"/>
        <v>-7.4958135112507529</v>
      </c>
    </row>
    <row r="460" spans="1:34" x14ac:dyDescent="0.2">
      <c r="A460" s="347">
        <f t="shared" ca="1" si="209"/>
        <v>0.1</v>
      </c>
      <c r="B460" s="304">
        <f t="shared" ca="1" si="210"/>
        <v>30.800000000000129</v>
      </c>
      <c r="D460" s="306">
        <f t="shared" ca="1" si="211"/>
        <v>-0.79872304352294099</v>
      </c>
      <c r="E460" s="307">
        <f t="shared" ca="1" si="212"/>
        <v>-2.3144919289540766</v>
      </c>
      <c r="F460" s="304">
        <f t="shared" ca="1" si="213"/>
        <v>2.4484344772625861</v>
      </c>
      <c r="G460" s="306">
        <f t="shared" ca="1" si="214"/>
        <v>10.25815041806835</v>
      </c>
      <c r="H460" s="307">
        <f t="shared" ca="1" si="215"/>
        <v>-97.247221284281835</v>
      </c>
      <c r="I460" s="304">
        <f t="shared" ca="1" si="216"/>
        <v>97.78676647437419</v>
      </c>
      <c r="J460" s="306">
        <f t="shared" ca="1" si="217"/>
        <v>697.23911954890343</v>
      </c>
      <c r="K460" s="307">
        <f t="shared" ca="1" si="218"/>
        <v>603.2769958709373</v>
      </c>
      <c r="L460" s="304">
        <f t="shared" ca="1" si="203"/>
        <v>922.00082623411618</v>
      </c>
      <c r="M460" s="306">
        <f t="shared" ca="1" si="219"/>
        <v>-1.4656997047324407</v>
      </c>
      <c r="N460" s="304">
        <f t="shared" ca="1" si="220"/>
        <v>-83.978407114739781</v>
      </c>
      <c r="P460" s="310">
        <f t="shared" ca="1" si="221"/>
        <v>23</v>
      </c>
      <c r="Q460" s="304">
        <f t="shared" ca="1" si="222"/>
        <v>0</v>
      </c>
      <c r="R460" s="306">
        <f t="shared" ca="1" si="223"/>
        <v>0</v>
      </c>
      <c r="S460" s="307">
        <f t="shared" ca="1" si="224"/>
        <v>2.9792999999999985</v>
      </c>
      <c r="T460" s="304">
        <f t="shared" ca="1" si="204"/>
        <v>29.226932999999988</v>
      </c>
      <c r="U460" s="311">
        <f t="shared" ca="1" si="205"/>
        <v>0</v>
      </c>
      <c r="V460" s="306">
        <f t="shared" ca="1" si="206"/>
        <v>1.1532624487269669</v>
      </c>
      <c r="W460" s="304">
        <f t="shared" ca="1" si="207"/>
        <v>22.581937010855885</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2.2168292088857759</v>
      </c>
      <c r="AH460" s="304">
        <f t="shared" ca="1" si="231"/>
        <v>-7.5379439997501398</v>
      </c>
    </row>
    <row r="461" spans="1:34" x14ac:dyDescent="0.2">
      <c r="A461" s="347">
        <f t="shared" ca="1" si="209"/>
        <v>0.1</v>
      </c>
      <c r="B461" s="304">
        <f t="shared" ca="1" si="210"/>
        <v>30.90000000000013</v>
      </c>
      <c r="D461" s="306">
        <f t="shared" ca="1" si="211"/>
        <v>-0.79512595922072571</v>
      </c>
      <c r="E461" s="307">
        <f t="shared" ca="1" si="212"/>
        <v>-2.2722093697301133</v>
      </c>
      <c r="F461" s="304">
        <f t="shared" ca="1" si="213"/>
        <v>2.4073140033896694</v>
      </c>
      <c r="G461" s="306">
        <f t="shared" ca="1" si="214"/>
        <v>10.178637822146278</v>
      </c>
      <c r="H461" s="307">
        <f t="shared" ca="1" si="215"/>
        <v>-97.474442221254847</v>
      </c>
      <c r="I461" s="304">
        <f t="shared" ca="1" si="216"/>
        <v>98.004446604524915</v>
      </c>
      <c r="J461" s="306">
        <f t="shared" ca="1" si="217"/>
        <v>698.26095896091419</v>
      </c>
      <c r="K461" s="307">
        <f t="shared" ca="1" si="218"/>
        <v>593.5409126956605</v>
      </c>
      <c r="L461" s="304">
        <f t="shared" ca="1" si="203"/>
        <v>916.43831317367631</v>
      </c>
      <c r="M461" s="306">
        <f t="shared" ca="1" si="219"/>
        <v>-1.4667497603047357</v>
      </c>
      <c r="N461" s="304">
        <f t="shared" ca="1" si="220"/>
        <v>-84.038570867286481</v>
      </c>
      <c r="P461" s="310">
        <f t="shared" ca="1" si="221"/>
        <v>23</v>
      </c>
      <c r="Q461" s="304">
        <f t="shared" ca="1" si="222"/>
        <v>0</v>
      </c>
      <c r="R461" s="306">
        <f t="shared" ca="1" si="223"/>
        <v>0</v>
      </c>
      <c r="S461" s="307">
        <f t="shared" ca="1" si="224"/>
        <v>2.9792999999999985</v>
      </c>
      <c r="T461" s="304">
        <f t="shared" ca="1" si="204"/>
        <v>29.226932999999988</v>
      </c>
      <c r="U461" s="311">
        <f t="shared" ca="1" si="205"/>
        <v>0</v>
      </c>
      <c r="V461" s="306">
        <f t="shared" ca="1" si="206"/>
        <v>1.1543868285075789</v>
      </c>
      <c r="W461" s="304">
        <f t="shared" ca="1" si="207"/>
        <v>22.704701348703153</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2.1762609948569489</v>
      </c>
      <c r="AH461" s="304">
        <f t="shared" ca="1" si="231"/>
        <v>-7.5796116573879422</v>
      </c>
    </row>
    <row r="462" spans="1:34" x14ac:dyDescent="0.2">
      <c r="A462" s="347">
        <f t="shared" ca="1" si="209"/>
        <v>0.1</v>
      </c>
      <c r="B462" s="304">
        <f t="shared" ca="1" si="210"/>
        <v>31.000000000000131</v>
      </c>
      <c r="D462" s="306">
        <f t="shared" ca="1" si="211"/>
        <v>-0.79149001036311295</v>
      </c>
      <c r="E462" s="307">
        <f t="shared" ca="1" si="212"/>
        <v>-2.2303956725938718</v>
      </c>
      <c r="F462" s="304">
        <f t="shared" ca="1" si="213"/>
        <v>2.3666688177330748</v>
      </c>
      <c r="G462" s="306">
        <f t="shared" ca="1" si="214"/>
        <v>10.099488821109967</v>
      </c>
      <c r="H462" s="307">
        <f t="shared" ca="1" si="215"/>
        <v>-97.697481788514239</v>
      </c>
      <c r="I462" s="304">
        <f t="shared" ca="1" si="216"/>
        <v>98.218112495938328</v>
      </c>
      <c r="J462" s="306">
        <f t="shared" ca="1" si="217"/>
        <v>699.27486529307703</v>
      </c>
      <c r="K462" s="307">
        <f t="shared" ca="1" si="218"/>
        <v>583.78231649517204</v>
      </c>
      <c r="L462" s="304">
        <f t="shared" ca="1" si="203"/>
        <v>910.92652298806195</v>
      </c>
      <c r="M462" s="306">
        <f t="shared" ca="1" si="219"/>
        <v>-1.4677871009198995</v>
      </c>
      <c r="N462" s="304">
        <f t="shared" ca="1" si="220"/>
        <v>-84.098006106452871</v>
      </c>
      <c r="P462" s="310">
        <f t="shared" ca="1" si="221"/>
        <v>23</v>
      </c>
      <c r="Q462" s="304">
        <f t="shared" ca="1" si="222"/>
        <v>0</v>
      </c>
      <c r="R462" s="306">
        <f t="shared" ca="1" si="223"/>
        <v>0</v>
      </c>
      <c r="S462" s="307">
        <f t="shared" ca="1" si="224"/>
        <v>2.9792999999999985</v>
      </c>
      <c r="T462" s="304">
        <f t="shared" ca="1" si="204"/>
        <v>29.226932999999988</v>
      </c>
      <c r="U462" s="311">
        <f t="shared" ca="1" si="205"/>
        <v>0</v>
      </c>
      <c r="V462" s="306">
        <f t="shared" ca="1" si="206"/>
        <v>1.1555148755743008</v>
      </c>
      <c r="W462" s="304">
        <f t="shared" ca="1" si="207"/>
        <v>22.826092762299758</v>
      </c>
      <c r="Y462" s="314" t="str">
        <f t="shared" ca="1" si="225"/>
        <v/>
      </c>
      <c r="Z462" s="315" t="str">
        <f t="shared" ca="1" si="226"/>
        <v/>
      </c>
      <c r="AA462" s="316" t="str">
        <f t="shared" ca="1" si="227"/>
        <v/>
      </c>
      <c r="AC462" s="310">
        <f t="shared" ca="1" si="228"/>
        <v>31.000000000000131</v>
      </c>
      <c r="AD462" s="323">
        <f t="shared" ca="1" si="229"/>
        <v>699.27486529307703</v>
      </c>
      <c r="AE462" s="324" t="e">
        <f t="shared" ca="1" si="208"/>
        <v>#N/A</v>
      </c>
      <c r="AG462" s="306">
        <f t="shared" ca="1" si="230"/>
        <v>2.1361304636333669</v>
      </c>
      <c r="AH462" s="304">
        <f t="shared" ca="1" si="231"/>
        <v>-7.6208174231205872</v>
      </c>
    </row>
    <row r="463" spans="1:34" x14ac:dyDescent="0.2">
      <c r="A463" s="347">
        <f t="shared" ca="1" si="209"/>
        <v>0.1</v>
      </c>
      <c r="B463" s="304">
        <f t="shared" ca="1" si="210"/>
        <v>31.100000000000133</v>
      </c>
      <c r="D463" s="306">
        <f t="shared" ca="1" si="211"/>
        <v>-0.78781664113875793</v>
      </c>
      <c r="E463" s="307">
        <f t="shared" ca="1" si="212"/>
        <v>-2.189049740669625</v>
      </c>
      <c r="F463" s="304">
        <f t="shared" ca="1" si="213"/>
        <v>2.3264981898082162</v>
      </c>
      <c r="G463" s="306">
        <f t="shared" ca="1" si="214"/>
        <v>10.020707156996091</v>
      </c>
      <c r="H463" s="307">
        <f t="shared" ca="1" si="215"/>
        <v>-97.916386762581197</v>
      </c>
      <c r="I463" s="304">
        <f t="shared" ca="1" si="216"/>
        <v>98.427807902877021</v>
      </c>
      <c r="J463" s="306">
        <f t="shared" ca="1" si="217"/>
        <v>700.28087509198235</v>
      </c>
      <c r="K463" s="307">
        <f t="shared" ca="1" si="218"/>
        <v>574.00162306761729</v>
      </c>
      <c r="L463" s="304">
        <f t="shared" ca="1" si="203"/>
        <v>905.4673750632054</v>
      </c>
      <c r="M463" s="306">
        <f t="shared" ca="1" si="219"/>
        <v>-1.4688119480266495</v>
      </c>
      <c r="N463" s="304">
        <f t="shared" ca="1" si="220"/>
        <v>-84.156725520315845</v>
      </c>
      <c r="P463" s="310">
        <f t="shared" ca="1" si="221"/>
        <v>23</v>
      </c>
      <c r="Q463" s="304">
        <f t="shared" ca="1" si="222"/>
        <v>0</v>
      </c>
      <c r="R463" s="306">
        <f t="shared" ca="1" si="223"/>
        <v>0</v>
      </c>
      <c r="S463" s="307">
        <f t="shared" ca="1" si="224"/>
        <v>2.9792999999999985</v>
      </c>
      <c r="T463" s="304">
        <f t="shared" ca="1" si="204"/>
        <v>29.226932999999988</v>
      </c>
      <c r="U463" s="311">
        <f t="shared" ca="1" si="205"/>
        <v>0</v>
      </c>
      <c r="V463" s="306">
        <f t="shared" ca="1" si="206"/>
        <v>1.1566465507157875</v>
      </c>
      <c r="W463" s="304">
        <f t="shared" ca="1" si="207"/>
        <v>22.946114822149021</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2.0964371700939823</v>
      </c>
      <c r="AH463" s="304">
        <f t="shared" ca="1" si="231"/>
        <v>-7.661562367770876</v>
      </c>
    </row>
    <row r="464" spans="1:34" x14ac:dyDescent="0.2">
      <c r="A464" s="347">
        <f t="shared" ca="1" si="209"/>
        <v>0.1</v>
      </c>
      <c r="B464" s="304">
        <f t="shared" ca="1" si="210"/>
        <v>31.200000000000134</v>
      </c>
      <c r="D464" s="306">
        <f t="shared" ca="1" si="211"/>
        <v>-0.78410727528530311</v>
      </c>
      <c r="E464" s="307">
        <f t="shared" ca="1" si="212"/>
        <v>-2.1481703479293257</v>
      </c>
      <c r="F464" s="304">
        <f t="shared" ca="1" si="213"/>
        <v>2.2868012731494929</v>
      </c>
      <c r="G464" s="306">
        <f t="shared" ca="1" si="214"/>
        <v>9.9422964294675609</v>
      </c>
      <c r="H464" s="307">
        <f t="shared" ca="1" si="215"/>
        <v>-98.131203797374127</v>
      </c>
      <c r="I464" s="304">
        <f t="shared" ca="1" si="216"/>
        <v>98.633576519424551</v>
      </c>
      <c r="J464" s="306">
        <f t="shared" ca="1" si="217"/>
        <v>701.2790252713055</v>
      </c>
      <c r="K464" s="307">
        <f t="shared" ca="1" si="218"/>
        <v>564.19924353961949</v>
      </c>
      <c r="L464" s="304">
        <f t="shared" ca="1" si="203"/>
        <v>900.0628076396398</v>
      </c>
      <c r="M464" s="306">
        <f t="shared" ca="1" si="219"/>
        <v>-1.4698245175646025</v>
      </c>
      <c r="N464" s="304">
        <f t="shared" ca="1" si="220"/>
        <v>-84.21474148130406</v>
      </c>
      <c r="P464" s="310">
        <f t="shared" ca="1" si="221"/>
        <v>23</v>
      </c>
      <c r="Q464" s="304">
        <f t="shared" ca="1" si="222"/>
        <v>0</v>
      </c>
      <c r="R464" s="306">
        <f t="shared" ca="1" si="223"/>
        <v>0</v>
      </c>
      <c r="S464" s="307">
        <f t="shared" ca="1" si="224"/>
        <v>2.9792999999999985</v>
      </c>
      <c r="T464" s="304">
        <f t="shared" ca="1" si="204"/>
        <v>29.226932999999988</v>
      </c>
      <c r="U464" s="311">
        <f t="shared" ca="1" si="205"/>
        <v>0</v>
      </c>
      <c r="V464" s="306">
        <f t="shared" ca="1" si="206"/>
        <v>1.1577818151194814</v>
      </c>
      <c r="W464" s="304">
        <f t="shared" ca="1" si="207"/>
        <v>23.064771466441996</v>
      </c>
      <c r="Y464" s="314" t="str">
        <f t="shared" ca="1" si="225"/>
        <v/>
      </c>
      <c r="Z464" s="315" t="str">
        <f t="shared" ca="1" si="226"/>
        <v/>
      </c>
      <c r="AA464" s="316" t="str">
        <f t="shared" ca="1" si="227"/>
        <v/>
      </c>
      <c r="AC464" s="310" t="e">
        <f t="shared" ca="1" si="228"/>
        <v>#N/A</v>
      </c>
      <c r="AD464" s="323" t="e">
        <f t="shared" ca="1" si="229"/>
        <v>#N/A</v>
      </c>
      <c r="AE464" s="324" t="e">
        <f t="shared" ca="1" si="208"/>
        <v>#N/A</v>
      </c>
      <c r="AG464" s="306">
        <f t="shared" ca="1" si="230"/>
        <v>2.0571805219339216</v>
      </c>
      <c r="AH464" s="304">
        <f t="shared" ca="1" si="231"/>
        <v>-7.7018476897757973</v>
      </c>
    </row>
    <row r="465" spans="1:34" x14ac:dyDescent="0.2">
      <c r="A465" s="347">
        <f t="shared" ca="1" si="209"/>
        <v>0.1</v>
      </c>
      <c r="B465" s="304">
        <f t="shared" ca="1" si="210"/>
        <v>31.300000000000136</v>
      </c>
      <c r="D465" s="306">
        <f t="shared" ca="1" si="211"/>
        <v>-0.78036331595440045</v>
      </c>
      <c r="E465" s="307">
        <f t="shared" ca="1" si="212"/>
        <v>-2.1077561434449388</v>
      </c>
      <c r="F465" s="304">
        <f t="shared" ca="1" si="213"/>
        <v>2.2475771099379944</v>
      </c>
      <c r="G465" s="306">
        <f t="shared" ca="1" si="214"/>
        <v>9.8642600978721209</v>
      </c>
      <c r="H465" s="307">
        <f t="shared" ca="1" si="215"/>
        <v>-98.341979411718626</v>
      </c>
      <c r="I465" s="304">
        <f t="shared" ca="1" si="216"/>
        <v>98.835461965295437</v>
      </c>
      <c r="J465" s="306">
        <f t="shared" ca="1" si="217"/>
        <v>702.26935309767248</v>
      </c>
      <c r="K465" s="307">
        <f t="shared" ca="1" si="218"/>
        <v>554.37558437916482</v>
      </c>
      <c r="L465" s="304">
        <f t="shared" ca="1" si="203"/>
        <v>894.71477737654686</v>
      </c>
      <c r="M465" s="306">
        <f t="shared" ca="1" si="219"/>
        <v>-1.4708250201369351</v>
      </c>
      <c r="N465" s="304">
        <f t="shared" ca="1" si="220"/>
        <v>-84.272066056090694</v>
      </c>
      <c r="P465" s="310">
        <f t="shared" ca="1" si="221"/>
        <v>23</v>
      </c>
      <c r="Q465" s="304">
        <f t="shared" ca="1" si="222"/>
        <v>0</v>
      </c>
      <c r="R465" s="306">
        <f t="shared" ca="1" si="223"/>
        <v>0</v>
      </c>
      <c r="S465" s="307">
        <f t="shared" ca="1" si="224"/>
        <v>2.9792999999999985</v>
      </c>
      <c r="T465" s="304">
        <f t="shared" ca="1" si="204"/>
        <v>29.226932999999988</v>
      </c>
      <c r="U465" s="311">
        <f t="shared" ca="1" si="205"/>
        <v>0</v>
      </c>
      <c r="V465" s="306">
        <f t="shared" ca="1" si="206"/>
        <v>1.1589206303712203</v>
      </c>
      <c r="W465" s="304">
        <f t="shared" ca="1" si="207"/>
        <v>23.182066988704893</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2.0183597845958277</v>
      </c>
      <c r="AH465" s="304">
        <f t="shared" ca="1" si="231"/>
        <v>-7.7416747109864756</v>
      </c>
    </row>
    <row r="466" spans="1:34" x14ac:dyDescent="0.2">
      <c r="A466" s="347">
        <f t="shared" ca="1" si="209"/>
        <v>0.1</v>
      </c>
      <c r="B466" s="304">
        <f t="shared" ca="1" si="210"/>
        <v>31.400000000000137</v>
      </c>
      <c r="D466" s="306">
        <f t="shared" ca="1" si="211"/>
        <v>-0.77658614559542127</v>
      </c>
      <c r="E466" s="307">
        <f t="shared" ca="1" si="212"/>
        <v>-2.0678056555863495</v>
      </c>
      <c r="F466" s="304">
        <f t="shared" ca="1" si="213"/>
        <v>2.2088246355937007</v>
      </c>
      <c r="G466" s="306">
        <f t="shared" ca="1" si="214"/>
        <v>9.7866014833125785</v>
      </c>
      <c r="H466" s="307">
        <f t="shared" ca="1" si="215"/>
        <v>-98.548759977277257</v>
      </c>
      <c r="I466" s="304">
        <f t="shared" ca="1" si="216"/>
        <v>99.033507772128218</v>
      </c>
      <c r="J466" s="306">
        <f t="shared" ca="1" si="217"/>
        <v>703.25189617673175</v>
      </c>
      <c r="K466" s="307">
        <f t="shared" ca="1" si="218"/>
        <v>544.53104740971503</v>
      </c>
      <c r="L466" s="304">
        <f t="shared" ca="1" si="203"/>
        <v>889.42525884376028</v>
      </c>
      <c r="M466" s="306">
        <f t="shared" ca="1" si="219"/>
        <v>-1.4718136611766937</v>
      </c>
      <c r="N466" s="304">
        <f t="shared" ca="1" si="220"/>
        <v>-84.328711015122295</v>
      </c>
      <c r="P466" s="310">
        <f t="shared" ca="1" si="221"/>
        <v>23</v>
      </c>
      <c r="Q466" s="304">
        <f t="shared" ca="1" si="222"/>
        <v>0</v>
      </c>
      <c r="R466" s="306">
        <f t="shared" ca="1" si="223"/>
        <v>0</v>
      </c>
      <c r="S466" s="307">
        <f t="shared" ca="1" si="224"/>
        <v>2.9792999999999985</v>
      </c>
      <c r="T466" s="304">
        <f t="shared" ca="1" si="204"/>
        <v>29.226932999999988</v>
      </c>
      <c r="U466" s="311">
        <f t="shared" ca="1" si="205"/>
        <v>0</v>
      </c>
      <c r="V466" s="306">
        <f t="shared" ca="1" si="206"/>
        <v>1.1600629584547271</v>
      </c>
      <c r="W466" s="304">
        <f t="shared" ca="1" si="207"/>
        <v>23.29800602561199</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1.9799740861156199</v>
      </c>
      <c r="AH466" s="304">
        <f t="shared" ca="1" si="231"/>
        <v>-7.7810448725220365</v>
      </c>
    </row>
    <row r="467" spans="1:34" x14ac:dyDescent="0.2">
      <c r="A467" s="347">
        <f t="shared" ca="1" si="209"/>
        <v>0.1</v>
      </c>
      <c r="B467" s="304">
        <f t="shared" ca="1" si="210"/>
        <v>31.500000000000139</v>
      </c>
      <c r="D467" s="306">
        <f t="shared" ca="1" si="211"/>
        <v>-0.77277712585726077</v>
      </c>
      <c r="E467" s="307">
        <f t="shared" ca="1" si="212"/>
        <v>-2.0283172961631708</v>
      </c>
      <c r="F467" s="304">
        <f t="shared" ca="1" si="213"/>
        <v>2.1705426833312642</v>
      </c>
      <c r="G467" s="306">
        <f t="shared" ca="1" si="214"/>
        <v>9.7093237707268525</v>
      </c>
      <c r="H467" s="307">
        <f t="shared" ca="1" si="215"/>
        <v>-98.751591706893578</v>
      </c>
      <c r="I467" s="304">
        <f t="shared" ca="1" si="216"/>
        <v>99.227757370253073</v>
      </c>
      <c r="J467" s="306">
        <f t="shared" ca="1" si="217"/>
        <v>704.22669243943369</v>
      </c>
      <c r="K467" s="307">
        <f t="shared" ca="1" si="218"/>
        <v>534.66602982550648</v>
      </c>
      <c r="L467" s="304">
        <f t="shared" ca="1" si="203"/>
        <v>884.19624393770982</v>
      </c>
      <c r="M467" s="306">
        <f t="shared" ca="1" si="219"/>
        <v>-1.4727906411070271</v>
      </c>
      <c r="N467" s="304">
        <f t="shared" ca="1" si="220"/>
        <v>-84.384687841799376</v>
      </c>
      <c r="P467" s="310">
        <f t="shared" ca="1" si="221"/>
        <v>23</v>
      </c>
      <c r="Q467" s="304">
        <f t="shared" ca="1" si="222"/>
        <v>0</v>
      </c>
      <c r="R467" s="306">
        <f t="shared" ca="1" si="223"/>
        <v>0</v>
      </c>
      <c r="S467" s="307">
        <f t="shared" ca="1" si="224"/>
        <v>2.9792999999999985</v>
      </c>
      <c r="T467" s="304">
        <f t="shared" ca="1" si="204"/>
        <v>29.226932999999988</v>
      </c>
      <c r="U467" s="311">
        <f t="shared" ca="1" si="205"/>
        <v>0</v>
      </c>
      <c r="V467" s="306">
        <f t="shared" ca="1" si="206"/>
        <v>1.1612087617509879</v>
      </c>
      <c r="W467" s="304">
        <f t="shared" ca="1" si="207"/>
        <v>23.412593544968697</v>
      </c>
      <c r="Y467" s="314" t="str">
        <f t="shared" ca="1" si="225"/>
        <v/>
      </c>
      <c r="Z467" s="315" t="str">
        <f t="shared" ca="1" si="226"/>
        <v/>
      </c>
      <c r="AA467" s="316" t="str">
        <f t="shared" ca="1" si="227"/>
        <v/>
      </c>
      <c r="AC467" s="310" t="e">
        <f t="shared" ca="1" si="228"/>
        <v>#N/A</v>
      </c>
      <c r="AD467" s="323" t="e">
        <f t="shared" ca="1" si="229"/>
        <v>#N/A</v>
      </c>
      <c r="AE467" s="324" t="e">
        <f t="shared" ca="1" si="208"/>
        <v>#N/A</v>
      </c>
      <c r="AG467" s="306">
        <f t="shared" ca="1" si="230"/>
        <v>1.9420224218826201</v>
      </c>
      <c r="AH467" s="304">
        <f t="shared" ca="1" si="231"/>
        <v>-7.8199597306790194</v>
      </c>
    </row>
    <row r="468" spans="1:34" x14ac:dyDescent="0.2">
      <c r="A468" s="347">
        <f t="shared" ca="1" si="209"/>
        <v>0.1</v>
      </c>
      <c r="B468" s="304">
        <f t="shared" ca="1" si="210"/>
        <v>31.60000000000014</v>
      </c>
      <c r="D468" s="306">
        <f t="shared" ca="1" si="211"/>
        <v>-0.76893759750760049</v>
      </c>
      <c r="E468" s="307">
        <f t="shared" ca="1" si="212"/>
        <v>-1.9892893645088785</v>
      </c>
      <c r="F468" s="304">
        <f t="shared" ca="1" si="213"/>
        <v>2.1327299886785713</v>
      </c>
      <c r="G468" s="306">
        <f t="shared" ca="1" si="214"/>
        <v>9.6324300109760923</v>
      </c>
      <c r="H468" s="307">
        <f t="shared" ca="1" si="215"/>
        <v>-98.950520643344461</v>
      </c>
      <c r="I468" s="304">
        <f t="shared" ca="1" si="216"/>
        <v>99.418254075925574</v>
      </c>
      <c r="J468" s="306">
        <f t="shared" ca="1" si="217"/>
        <v>705.19378012851882</v>
      </c>
      <c r="K468" s="307">
        <f t="shared" ca="1" si="218"/>
        <v>524.78092420799453</v>
      </c>
      <c r="L468" s="304">
        <f t="shared" ca="1" si="203"/>
        <v>879.02974121729608</v>
      </c>
      <c r="M468" s="306">
        <f t="shared" ca="1" si="219"/>
        <v>-1.4737561554955916</v>
      </c>
      <c r="N468" s="304">
        <f t="shared" ca="1" si="220"/>
        <v>-84.440007741323285</v>
      </c>
      <c r="P468" s="310">
        <f t="shared" ca="1" si="221"/>
        <v>23</v>
      </c>
      <c r="Q468" s="304">
        <f t="shared" ca="1" si="222"/>
        <v>0</v>
      </c>
      <c r="R468" s="306">
        <f t="shared" ca="1" si="223"/>
        <v>0</v>
      </c>
      <c r="S468" s="307">
        <f t="shared" ca="1" si="224"/>
        <v>2.9792999999999985</v>
      </c>
      <c r="T468" s="304">
        <f t="shared" ca="1" si="204"/>
        <v>29.226932999999988</v>
      </c>
      <c r="U468" s="311">
        <f t="shared" ca="1" si="205"/>
        <v>0</v>
      </c>
      <c r="V468" s="306">
        <f t="shared" ca="1" si="206"/>
        <v>1.1623580030375309</v>
      </c>
      <c r="W468" s="304">
        <f t="shared" ca="1" si="207"/>
        <v>23.525834833869041</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1.9045036593139173</v>
      </c>
      <c r="AH468" s="304">
        <f t="shared" ca="1" si="231"/>
        <v>-7.8584209528978981</v>
      </c>
    </row>
    <row r="469" spans="1:34" x14ac:dyDescent="0.2">
      <c r="A469" s="347">
        <f t="shared" ca="1" si="209"/>
        <v>0.1</v>
      </c>
      <c r="B469" s="304">
        <f t="shared" ca="1" si="210"/>
        <v>31.700000000000141</v>
      </c>
      <c r="D469" s="306">
        <f t="shared" ca="1" si="211"/>
        <v>-0.76506888036905352</v>
      </c>
      <c r="E469" s="307">
        <f t="shared" ca="1" si="212"/>
        <v>-1.9507200515057779</v>
      </c>
      <c r="F469" s="304">
        <f t="shared" ca="1" si="213"/>
        <v>2.0953851939573931</v>
      </c>
      <c r="G469" s="306">
        <f t="shared" ca="1" si="214"/>
        <v>9.5559231229391877</v>
      </c>
      <c r="H469" s="307">
        <f t="shared" ca="1" si="215"/>
        <v>-99.14559264849504</v>
      </c>
      <c r="I469" s="304">
        <f t="shared" ca="1" si="216"/>
        <v>99.605041079017866</v>
      </c>
      <c r="J469" s="306">
        <f t="shared" ca="1" si="217"/>
        <v>706.15319778521462</v>
      </c>
      <c r="K469" s="307">
        <f t="shared" ca="1" si="218"/>
        <v>514.87611854340253</v>
      </c>
      <c r="L469" s="304">
        <f t="shared" ca="1" si="203"/>
        <v>873.9277751557072</v>
      </c>
      <c r="M469" s="306">
        <f t="shared" ca="1" si="219"/>
        <v>-1.4747103952033747</v>
      </c>
      <c r="N469" s="304">
        <f t="shared" ca="1" si="220"/>
        <v>-84.494681649223054</v>
      </c>
      <c r="P469" s="310">
        <f t="shared" ca="1" si="221"/>
        <v>23</v>
      </c>
      <c r="Q469" s="304">
        <f t="shared" ca="1" si="222"/>
        <v>0</v>
      </c>
      <c r="R469" s="306">
        <f t="shared" ca="1" si="223"/>
        <v>0</v>
      </c>
      <c r="S469" s="307">
        <f t="shared" ca="1" si="224"/>
        <v>2.9792999999999985</v>
      </c>
      <c r="T469" s="304">
        <f t="shared" ca="1" si="204"/>
        <v>29.226932999999988</v>
      </c>
      <c r="U469" s="311">
        <f t="shared" ca="1" si="205"/>
        <v>0</v>
      </c>
      <c r="V469" s="306">
        <f t="shared" ca="1" si="206"/>
        <v>1.1635106454875879</v>
      </c>
      <c r="W469" s="304">
        <f t="shared" ca="1" si="207"/>
        <v>23.637735487031016</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1.8674165424429292</v>
      </c>
      <c r="AH469" s="304">
        <f t="shared" ca="1" si="231"/>
        <v>-7.896430313788156</v>
      </c>
    </row>
    <row r="470" spans="1:34" x14ac:dyDescent="0.2">
      <c r="A470" s="347">
        <f t="shared" ca="1" si="209"/>
        <v>0.1</v>
      </c>
      <c r="B470" s="304">
        <f t="shared" ca="1" si="210"/>
        <v>31.800000000000143</v>
      </c>
      <c r="D470" s="306">
        <f t="shared" ca="1" si="211"/>
        <v>-0.761172273271568</v>
      </c>
      <c r="E470" s="307">
        <f t="shared" ca="1" si="212"/>
        <v>-1.9126074435496454</v>
      </c>
      <c r="F470" s="304">
        <f t="shared" ca="1" si="213"/>
        <v>2.0585068527257606</v>
      </c>
      <c r="G470" s="306">
        <f t="shared" ca="1" si="214"/>
        <v>9.4798058956120315</v>
      </c>
      <c r="H470" s="307">
        <f t="shared" ca="1" si="215"/>
        <v>-99.336853392850003</v>
      </c>
      <c r="I470" s="304">
        <f t="shared" ca="1" si="216"/>
        <v>99.78816143115904</v>
      </c>
      <c r="J470" s="306">
        <f t="shared" ca="1" si="217"/>
        <v>707.10498423614217</v>
      </c>
      <c r="K470" s="307">
        <f t="shared" ca="1" si="218"/>
        <v>504.95199624133528</v>
      </c>
      <c r="L470" s="304">
        <f t="shared" ca="1" si="203"/>
        <v>868.89238530424723</v>
      </c>
      <c r="M470" s="306">
        <f t="shared" ca="1" si="219"/>
        <v>-1.475653546528165</v>
      </c>
      <c r="N470" s="304">
        <f t="shared" ca="1" si="220"/>
        <v>-84.548720239575715</v>
      </c>
      <c r="P470" s="310">
        <f t="shared" ca="1" si="221"/>
        <v>23</v>
      </c>
      <c r="Q470" s="304">
        <f t="shared" ca="1" si="222"/>
        <v>0</v>
      </c>
      <c r="R470" s="306">
        <f t="shared" ca="1" si="223"/>
        <v>0</v>
      </c>
      <c r="S470" s="307">
        <f t="shared" ca="1" si="224"/>
        <v>2.9792999999999985</v>
      </c>
      <c r="T470" s="304">
        <f t="shared" ca="1" si="204"/>
        <v>29.226932999999988</v>
      </c>
      <c r="U470" s="311">
        <f t="shared" ca="1" si="205"/>
        <v>0</v>
      </c>
      <c r="V470" s="306">
        <f t="shared" ca="1" si="206"/>
        <v>1.1646666526691678</v>
      </c>
      <c r="W470" s="304">
        <f t="shared" ca="1" si="207"/>
        <v>23.74830139531386</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1.8307596964223327</v>
      </c>
      <c r="AH470" s="304">
        <f t="shared" ca="1" si="231"/>
        <v>-7.9339896912130454</v>
      </c>
    </row>
    <row r="471" spans="1:34" x14ac:dyDescent="0.2">
      <c r="A471" s="347">
        <f t="shared" ca="1" si="209"/>
        <v>0.1</v>
      </c>
      <c r="B471" s="304">
        <f t="shared" ca="1" si="210"/>
        <v>31.900000000000144</v>
      </c>
      <c r="D471" s="306">
        <f t="shared" ca="1" si="211"/>
        <v>-0.75724905402054543</v>
      </c>
      <c r="E471" s="307">
        <f t="shared" ca="1" si="212"/>
        <v>-1.8749495264526388</v>
      </c>
      <c r="F471" s="304">
        <f t="shared" ca="1" si="213"/>
        <v>2.0220934341815129</v>
      </c>
      <c r="G471" s="306">
        <f t="shared" ca="1" si="214"/>
        <v>9.4040809902099767</v>
      </c>
      <c r="H471" s="307">
        <f t="shared" ca="1" si="215"/>
        <v>-99.52434834549527</v>
      </c>
      <c r="I471" s="304">
        <f t="shared" ca="1" si="216"/>
        <v>99.967658034315861</v>
      </c>
      <c r="J471" s="306">
        <f t="shared" ca="1" si="217"/>
        <v>708.04917858043325</v>
      </c>
      <c r="K471" s="307">
        <f t="shared" ca="1" si="218"/>
        <v>495.008936154418</v>
      </c>
      <c r="L471" s="304">
        <f t="shared" ca="1" si="203"/>
        <v>863.92562536433365</v>
      </c>
      <c r="M471" s="306">
        <f t="shared" ca="1" si="219"/>
        <v>-1.4765857913428926</v>
      </c>
      <c r="N471" s="304">
        <f t="shared" ca="1" si="220"/>
        <v>-84.60213393293256</v>
      </c>
      <c r="P471" s="310">
        <f t="shared" ca="1" si="221"/>
        <v>23</v>
      </c>
      <c r="Q471" s="304">
        <f t="shared" ca="1" si="222"/>
        <v>0</v>
      </c>
      <c r="R471" s="306">
        <f t="shared" ca="1" si="223"/>
        <v>0</v>
      </c>
      <c r="S471" s="307">
        <f t="shared" ca="1" si="224"/>
        <v>2.9792999999999985</v>
      </c>
      <c r="T471" s="304">
        <f t="shared" ca="1" si="204"/>
        <v>29.226932999999988</v>
      </c>
      <c r="U471" s="311">
        <f t="shared" ca="1" si="205"/>
        <v>0</v>
      </c>
      <c r="V471" s="306">
        <f t="shared" ca="1" si="206"/>
        <v>1.1658259885440243</v>
      </c>
      <c r="W471" s="304">
        <f t="shared" ca="1" si="207"/>
        <v>23.857538734419688</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1.7945316319411901</v>
      </c>
      <c r="AH471" s="304">
        <f t="shared" ca="1" si="231"/>
        <v>-7.9711010624354284</v>
      </c>
    </row>
    <row r="472" spans="1:34" x14ac:dyDescent="0.2">
      <c r="A472" s="347">
        <f t="shared" ca="1" si="209"/>
        <v>0.1</v>
      </c>
      <c r="B472" s="304">
        <f t="shared" ca="1" si="210"/>
        <v>32.000000000000142</v>
      </c>
      <c r="D472" s="306">
        <f t="shared" ca="1" si="211"/>
        <v>-0.75330047938005051</v>
      </c>
      <c r="E472" s="307">
        <f t="shared" ca="1" si="212"/>
        <v>-1.837744189283641</v>
      </c>
      <c r="F472" s="304">
        <f t="shared" ca="1" si="213"/>
        <v>1.9861433275269942</v>
      </c>
      <c r="G472" s="306">
        <f t="shared" ca="1" si="214"/>
        <v>9.3287509422719719</v>
      </c>
      <c r="H472" s="307">
        <f t="shared" ca="1" si="215"/>
        <v>-99.708122764423635</v>
      </c>
      <c r="I472" s="304">
        <f t="shared" ca="1" si="216"/>
        <v>100.1435736298057</v>
      </c>
      <c r="J472" s="306">
        <f t="shared" ca="1" si="217"/>
        <v>708.98582017705735</v>
      </c>
      <c r="K472" s="307">
        <f t="shared" ca="1" si="218"/>
        <v>485.04731259892208</v>
      </c>
      <c r="L472" s="304">
        <f t="shared" ca="1" si="203"/>
        <v>859.02956216394045</v>
      </c>
      <c r="M472" s="306">
        <f t="shared" ca="1" si="219"/>
        <v>-1.4775073072290474</v>
      </c>
      <c r="N472" s="304">
        <f t="shared" ca="1" si="220"/>
        <v>-84.654932903963484</v>
      </c>
      <c r="P472" s="310">
        <f t="shared" ca="1" si="221"/>
        <v>23</v>
      </c>
      <c r="Q472" s="304">
        <f t="shared" ca="1" si="222"/>
        <v>0</v>
      </c>
      <c r="R472" s="306">
        <f t="shared" ca="1" si="223"/>
        <v>0</v>
      </c>
      <c r="S472" s="307">
        <f t="shared" ca="1" si="224"/>
        <v>2.9792999999999985</v>
      </c>
      <c r="T472" s="304">
        <f t="shared" ca="1" si="204"/>
        <v>29.226932999999988</v>
      </c>
      <c r="U472" s="311">
        <f t="shared" ca="1" si="205"/>
        <v>0</v>
      </c>
      <c r="V472" s="306">
        <f t="shared" ca="1" si="206"/>
        <v>1.1669886174665325</v>
      </c>
      <c r="W472" s="304">
        <f t="shared" ca="1" si="207"/>
        <v>23.965453953782848</v>
      </c>
      <c r="Y472" s="314" t="str">
        <f t="shared" ca="1" si="225"/>
        <v/>
      </c>
      <c r="Z472" s="315" t="str">
        <f t="shared" ca="1" si="226"/>
        <v/>
      </c>
      <c r="AA472" s="316" t="str">
        <f t="shared" ca="1" si="227"/>
        <v/>
      </c>
      <c r="AC472" s="310">
        <f t="shared" ca="1" si="228"/>
        <v>32.000000000000142</v>
      </c>
      <c r="AD472" s="323">
        <f t="shared" ca="1" si="229"/>
        <v>708.98582017705735</v>
      </c>
      <c r="AE472" s="324" t="e">
        <f t="shared" ca="1" si="208"/>
        <v>#N/A</v>
      </c>
      <c r="AG472" s="306">
        <f t="shared" ca="1" si="230"/>
        <v>1.7587307495567082</v>
      </c>
      <c r="AH472" s="304">
        <f t="shared" ca="1" si="231"/>
        <v>-8.007766500325479</v>
      </c>
    </row>
    <row r="473" spans="1:34" x14ac:dyDescent="0.2">
      <c r="A473" s="347">
        <f t="shared" ca="1" si="209"/>
        <v>0.1</v>
      </c>
      <c r="B473" s="304">
        <f t="shared" ca="1" si="210"/>
        <v>32.100000000000144</v>
      </c>
      <c r="D473" s="306">
        <f t="shared" ca="1" si="211"/>
        <v>-0.74932778507056719</v>
      </c>
      <c r="E473" s="307">
        <f t="shared" ca="1" si="212"/>
        <v>-1.800989228144882</v>
      </c>
      <c r="F473" s="304">
        <f t="shared" ca="1" si="213"/>
        <v>1.9506548462946129</v>
      </c>
      <c r="G473" s="306">
        <f t="shared" ca="1" si="214"/>
        <v>9.2538181637649153</v>
      </c>
      <c r="H473" s="307">
        <f t="shared" ca="1" si="215"/>
        <v>-99.888221687238129</v>
      </c>
      <c r="I473" s="304">
        <f t="shared" ca="1" si="216"/>
        <v>100.31595078773293</v>
      </c>
      <c r="J473" s="306">
        <f t="shared" ca="1" si="217"/>
        <v>709.91494863235914</v>
      </c>
      <c r="K473" s="307">
        <f t="shared" ca="1" si="218"/>
        <v>475.06749537633897</v>
      </c>
      <c r="L473" s="304">
        <f t="shared" ca="1" si="203"/>
        <v>854.20627453492341</v>
      </c>
      <c r="M473" s="306">
        <f t="shared" ca="1" si="219"/>
        <v>-1.478418267605377</v>
      </c>
      <c r="N473" s="304">
        <f t="shared" ca="1" si="220"/>
        <v>-84.707127088830816</v>
      </c>
      <c r="P473" s="310">
        <f t="shared" ca="1" si="221"/>
        <v>23</v>
      </c>
      <c r="Q473" s="304">
        <f t="shared" ca="1" si="222"/>
        <v>0</v>
      </c>
      <c r="R473" s="306">
        <f t="shared" ca="1" si="223"/>
        <v>0</v>
      </c>
      <c r="S473" s="307">
        <f t="shared" ca="1" si="224"/>
        <v>2.9792999999999985</v>
      </c>
      <c r="T473" s="304">
        <f t="shared" ca="1" si="204"/>
        <v>29.226932999999988</v>
      </c>
      <c r="U473" s="311">
        <f t="shared" ca="1" si="205"/>
        <v>0</v>
      </c>
      <c r="V473" s="306">
        <f t="shared" ca="1" si="206"/>
        <v>1.1681545041824717</v>
      </c>
      <c r="W473" s="304">
        <f t="shared" ca="1" si="207"/>
        <v>24.072053765649127</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1.7233553439405238</v>
      </c>
      <c r="AH473" s="304">
        <f t="shared" ca="1" si="231"/>
        <v>-8.0439881696314099</v>
      </c>
    </row>
    <row r="474" spans="1:34" x14ac:dyDescent="0.2">
      <c r="A474" s="347">
        <f t="shared" ca="1" si="209"/>
        <v>0.1</v>
      </c>
      <c r="B474" s="304">
        <f t="shared" ca="1" si="210"/>
        <v>32.200000000000145</v>
      </c>
      <c r="D474" s="306">
        <f t="shared" ca="1" si="211"/>
        <v>-0.74533218578074456</v>
      </c>
      <c r="E474" s="307">
        <f t="shared" ca="1" si="212"/>
        <v>-1.7646823498841151</v>
      </c>
      <c r="F474" s="304">
        <f t="shared" ca="1" si="213"/>
        <v>1.9156262326333979</v>
      </c>
      <c r="G474" s="306">
        <f t="shared" ca="1" si="214"/>
        <v>9.1792849451868417</v>
      </c>
      <c r="H474" s="307">
        <f t="shared" ca="1" si="215"/>
        <v>-100.06468992222653</v>
      </c>
      <c r="I474" s="304">
        <f t="shared" ca="1" si="216"/>
        <v>100.48483189684042</v>
      </c>
      <c r="J474" s="306">
        <f t="shared" ca="1" si="217"/>
        <v>710.83660378780678</v>
      </c>
      <c r="K474" s="307">
        <f t="shared" ca="1" si="218"/>
        <v>465.06984979586571</v>
      </c>
      <c r="L474" s="304">
        <f t="shared" ca="1" si="203"/>
        <v>849.45785208786697</v>
      </c>
      <c r="M474" s="306">
        <f t="shared" ca="1" si="219"/>
        <v>-1.4793188418520542</v>
      </c>
      <c r="N474" s="304">
        <f t="shared" ca="1" si="220"/>
        <v>-84.758726192303598</v>
      </c>
      <c r="P474" s="310">
        <f t="shared" ca="1" si="221"/>
        <v>23</v>
      </c>
      <c r="Q474" s="304">
        <f t="shared" ca="1" si="222"/>
        <v>0</v>
      </c>
      <c r="R474" s="306">
        <f t="shared" ca="1" si="223"/>
        <v>0</v>
      </c>
      <c r="S474" s="307">
        <f t="shared" ca="1" si="224"/>
        <v>2.9792999999999985</v>
      </c>
      <c r="T474" s="304">
        <f t="shared" ca="1" si="204"/>
        <v>29.226932999999988</v>
      </c>
      <c r="U474" s="311">
        <f t="shared" ca="1" si="205"/>
        <v>0</v>
      </c>
      <c r="V474" s="306">
        <f t="shared" ca="1" si="206"/>
        <v>1.1693236138277225</v>
      </c>
      <c r="W474" s="304">
        <f t="shared" ca="1" si="207"/>
        <v>24.177345134347114</v>
      </c>
      <c r="Y474" s="314" t="str">
        <f t="shared" ca="1" si="225"/>
        <v/>
      </c>
      <c r="Z474" s="315" t="str">
        <f t="shared" ca="1" si="226"/>
        <v/>
      </c>
      <c r="AA474" s="316" t="str">
        <f t="shared" ca="1" si="227"/>
        <v/>
      </c>
      <c r="AC474" s="310" t="e">
        <f t="shared" ca="1" si="228"/>
        <v>#N/A</v>
      </c>
      <c r="AD474" s="323" t="e">
        <f t="shared" ca="1" si="229"/>
        <v>#N/A</v>
      </c>
      <c r="AE474" s="324" t="e">
        <f t="shared" ca="1" si="208"/>
        <v>#N/A</v>
      </c>
      <c r="AG474" s="306">
        <f t="shared" ca="1" si="230"/>
        <v>1.6884036080399287</v>
      </c>
      <c r="AH474" s="304">
        <f t="shared" ca="1" si="231"/>
        <v>-8.0797683233139121</v>
      </c>
    </row>
    <row r="475" spans="1:34" x14ac:dyDescent="0.2">
      <c r="A475" s="347">
        <f t="shared" ca="1" si="209"/>
        <v>0.1</v>
      </c>
      <c r="B475" s="304">
        <f t="shared" ca="1" si="210"/>
        <v>32.300000000000146</v>
      </c>
      <c r="D475" s="306">
        <f t="shared" ca="1" si="211"/>
        <v>-0.74131487519256856</v>
      </c>
      <c r="E475" s="307">
        <f t="shared" ca="1" si="212"/>
        <v>-1.7288211757415368</v>
      </c>
      <c r="F475" s="304">
        <f t="shared" ca="1" si="213"/>
        <v>1.8810556615565961</v>
      </c>
      <c r="G475" s="306">
        <f t="shared" ca="1" si="214"/>
        <v>9.1051534576675852</v>
      </c>
      <c r="H475" s="307">
        <f t="shared" ca="1" si="215"/>
        <v>-100.23757203980068</v>
      </c>
      <c r="I475" s="304">
        <f t="shared" ca="1" si="216"/>
        <v>100.65025915476774</v>
      </c>
      <c r="J475" s="306">
        <f t="shared" ca="1" si="217"/>
        <v>711.7508257079495</v>
      </c>
      <c r="K475" s="307">
        <f t="shared" ca="1" si="218"/>
        <v>455.05473669776433</v>
      </c>
      <c r="L475" s="304">
        <f t="shared" ca="1" si="203"/>
        <v>844.78639388132876</v>
      </c>
      <c r="M475" s="306">
        <f t="shared" ca="1" si="219"/>
        <v>-1.4802091954304994</v>
      </c>
      <c r="N475" s="304">
        <f t="shared" ca="1" si="220"/>
        <v>-84.809739694622877</v>
      </c>
      <c r="P475" s="310">
        <f t="shared" ca="1" si="221"/>
        <v>23</v>
      </c>
      <c r="Q475" s="304">
        <f t="shared" ca="1" si="222"/>
        <v>0</v>
      </c>
      <c r="R475" s="306">
        <f t="shared" ca="1" si="223"/>
        <v>0</v>
      </c>
      <c r="S475" s="307">
        <f t="shared" ca="1" si="224"/>
        <v>2.9792999999999985</v>
      </c>
      <c r="T475" s="304">
        <f t="shared" ca="1" si="204"/>
        <v>29.226932999999988</v>
      </c>
      <c r="U475" s="311">
        <f t="shared" ca="1" si="205"/>
        <v>0</v>
      </c>
      <c r="V475" s="306">
        <f t="shared" ca="1" si="206"/>
        <v>1.1704959119268776</v>
      </c>
      <c r="W475" s="304">
        <f t="shared" ca="1" si="207"/>
        <v>24.281335265753501</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1.65387363715422</v>
      </c>
      <c r="AH475" s="304">
        <f t="shared" ca="1" si="231"/>
        <v>-8.1151092989450966</v>
      </c>
    </row>
    <row r="476" spans="1:34" x14ac:dyDescent="0.2">
      <c r="A476" s="347">
        <f t="shared" ca="1" si="209"/>
        <v>0.1</v>
      </c>
      <c r="B476" s="304">
        <f t="shared" ca="1" si="210"/>
        <v>32.400000000000148</v>
      </c>
      <c r="D476" s="306">
        <f t="shared" ca="1" si="211"/>
        <v>-0.73727702601941614</v>
      </c>
      <c r="E476" s="307">
        <f t="shared" ca="1" si="212"/>
        <v>-1.6934032449308631</v>
      </c>
      <c r="F476" s="304">
        <f t="shared" ca="1" si="213"/>
        <v>1.8469412451505898</v>
      </c>
      <c r="G476" s="306">
        <f t="shared" ca="1" si="214"/>
        <v>9.0314257550656443</v>
      </c>
      <c r="H476" s="307">
        <f t="shared" ca="1" si="215"/>
        <v>-100.40691236429377</v>
      </c>
      <c r="I476" s="304">
        <f t="shared" ca="1" si="216"/>
        <v>100.81227455870754</v>
      </c>
      <c r="J476" s="306">
        <f t="shared" ca="1" si="217"/>
        <v>712.65765466858613</v>
      </c>
      <c r="K476" s="307">
        <f t="shared" ca="1" si="218"/>
        <v>445.02251247755959</v>
      </c>
      <c r="L476" s="304">
        <f t="shared" ca="1" si="203"/>
        <v>840.19400698265486</v>
      </c>
      <c r="M476" s="306">
        <f t="shared" ca="1" si="219"/>
        <v>-1.4810894899990277</v>
      </c>
      <c r="N476" s="304">
        <f t="shared" ca="1" si="220"/>
        <v>-84.860176858127829</v>
      </c>
      <c r="P476" s="310">
        <f t="shared" ca="1" si="221"/>
        <v>23</v>
      </c>
      <c r="Q476" s="304">
        <f t="shared" ca="1" si="222"/>
        <v>0</v>
      </c>
      <c r="R476" s="306">
        <f t="shared" ca="1" si="223"/>
        <v>0</v>
      </c>
      <c r="S476" s="307">
        <f t="shared" ca="1" si="224"/>
        <v>2.9792999999999985</v>
      </c>
      <c r="T476" s="304">
        <f t="shared" ca="1" si="204"/>
        <v>29.226932999999988</v>
      </c>
      <c r="U476" s="311">
        <f t="shared" ca="1" si="205"/>
        <v>0</v>
      </c>
      <c r="V476" s="306">
        <f t="shared" ca="1" si="206"/>
        <v>1.1716713643917676</v>
      </c>
      <c r="W476" s="304">
        <f t="shared" ca="1" si="207"/>
        <v>24.384031596953971</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1.6197634329265167</v>
      </c>
      <c r="AH476" s="304">
        <f t="shared" ca="1" si="231"/>
        <v>-8.1500135151725281</v>
      </c>
    </row>
    <row r="477" spans="1:34" x14ac:dyDescent="0.2">
      <c r="A477" s="347">
        <f t="shared" ca="1" si="209"/>
        <v>0.1</v>
      </c>
      <c r="B477" s="304">
        <f t="shared" ca="1" si="210"/>
        <v>32.500000000000149</v>
      </c>
      <c r="D477" s="306">
        <f t="shared" ca="1" si="211"/>
        <v>-0.73321979005648363</v>
      </c>
      <c r="E477" s="307">
        <f t="shared" ca="1" si="212"/>
        <v>-1.6584260181539623</v>
      </c>
      <c r="F477" s="304">
        <f t="shared" ca="1" si="213"/>
        <v>1.813281036745402</v>
      </c>
      <c r="G477" s="306">
        <f t="shared" ca="1" si="214"/>
        <v>8.9581037760599962</v>
      </c>
      <c r="H477" s="307">
        <f t="shared" ca="1" si="215"/>
        <v>-100.57275496610917</v>
      </c>
      <c r="I477" s="304">
        <f t="shared" ca="1" si="216"/>
        <v>100.97091989645186</v>
      </c>
      <c r="J477" s="306">
        <f t="shared" ca="1" si="217"/>
        <v>713.55713114514242</v>
      </c>
      <c r="K477" s="307">
        <f t="shared" ca="1" si="218"/>
        <v>434.97352911103945</v>
      </c>
      <c r="L477" s="304">
        <f t="shared" ca="1" si="203"/>
        <v>835.6828049178697</v>
      </c>
      <c r="M477" s="306">
        <f t="shared" ca="1" si="219"/>
        <v>-1.4819598835244907</v>
      </c>
      <c r="N477" s="304">
        <f t="shared" ca="1" si="220"/>
        <v>-84.910046733652379</v>
      </c>
      <c r="P477" s="310">
        <f t="shared" ca="1" si="221"/>
        <v>23</v>
      </c>
      <c r="Q477" s="304">
        <f t="shared" ca="1" si="222"/>
        <v>0</v>
      </c>
      <c r="R477" s="306">
        <f t="shared" ca="1" si="223"/>
        <v>0</v>
      </c>
      <c r="S477" s="307">
        <f t="shared" ca="1" si="224"/>
        <v>2.9792999999999985</v>
      </c>
      <c r="T477" s="304">
        <f t="shared" ca="1" si="204"/>
        <v>29.226932999999988</v>
      </c>
      <c r="U477" s="311">
        <f t="shared" ca="1" si="205"/>
        <v>0</v>
      </c>
      <c r="V477" s="306">
        <f t="shared" ca="1" si="206"/>
        <v>1.1728499375199137</v>
      </c>
      <c r="W477" s="304">
        <f t="shared" ca="1" si="207"/>
        <v>24.485441786100974</v>
      </c>
      <c r="Y477" s="314" t="str">
        <f t="shared" ca="1" si="225"/>
        <v/>
      </c>
      <c r="Z477" s="315" t="str">
        <f t="shared" ca="1" si="226"/>
        <v/>
      </c>
      <c r="AA477" s="316" t="str">
        <f t="shared" ca="1" si="227"/>
        <v/>
      </c>
      <c r="AC477" s="310" t="e">
        <f t="shared" ca="1" si="228"/>
        <v>#N/A</v>
      </c>
      <c r="AD477" s="323" t="e">
        <f t="shared" ca="1" si="229"/>
        <v>#N/A</v>
      </c>
      <c r="AE477" s="324" t="e">
        <f t="shared" ca="1" si="208"/>
        <v>#N/A</v>
      </c>
      <c r="AG477" s="306">
        <f t="shared" ca="1" si="230"/>
        <v>1.5860709072514325</v>
      </c>
      <c r="AH477" s="304">
        <f t="shared" ca="1" si="231"/>
        <v>-8.1844834682489118</v>
      </c>
    </row>
    <row r="478" spans="1:34" x14ac:dyDescent="0.2">
      <c r="A478" s="347">
        <f t="shared" ca="1" si="209"/>
        <v>0.1</v>
      </c>
      <c r="B478" s="304">
        <f t="shared" ca="1" si="210"/>
        <v>32.600000000000151</v>
      </c>
      <c r="D478" s="306">
        <f t="shared" ca="1" si="211"/>
        <v>-0.72914429824303706</v>
      </c>
      <c r="E478" s="307">
        <f t="shared" ca="1" si="212"/>
        <v>-1.623886881048616</v>
      </c>
      <c r="F478" s="304">
        <f t="shared" ca="1" si="213"/>
        <v>1.7800730350471952</v>
      </c>
      <c r="G478" s="306">
        <f t="shared" ca="1" si="214"/>
        <v>8.885189346235693</v>
      </c>
      <c r="H478" s="307">
        <f t="shared" ca="1" si="215"/>
        <v>-100.73514365421403</v>
      </c>
      <c r="I478" s="304">
        <f t="shared" ca="1" si="216"/>
        <v>101.12623673781991</v>
      </c>
      <c r="J478" s="306">
        <f t="shared" ca="1" si="217"/>
        <v>714.44929580125722</v>
      </c>
      <c r="K478" s="307">
        <f t="shared" ca="1" si="218"/>
        <v>424.9081341800233</v>
      </c>
      <c r="L478" s="304">
        <f t="shared" ca="1" si="203"/>
        <v>831.25490600853664</v>
      </c>
      <c r="M478" s="306">
        <f t="shared" ca="1" si="219"/>
        <v>-1.4828205303900712</v>
      </c>
      <c r="N478" s="304">
        <f t="shared" ca="1" si="220"/>
        <v>-84.959358166701307</v>
      </c>
      <c r="P478" s="310">
        <f t="shared" ca="1" si="221"/>
        <v>23</v>
      </c>
      <c r="Q478" s="304">
        <f t="shared" ca="1" si="222"/>
        <v>0</v>
      </c>
      <c r="R478" s="306">
        <f t="shared" ca="1" si="223"/>
        <v>0</v>
      </c>
      <c r="S478" s="307">
        <f t="shared" ca="1" si="224"/>
        <v>2.9792999999999985</v>
      </c>
      <c r="T478" s="304">
        <f t="shared" ca="1" si="204"/>
        <v>29.226932999999988</v>
      </c>
      <c r="U478" s="311">
        <f t="shared" ca="1" si="205"/>
        <v>0</v>
      </c>
      <c r="V478" s="306">
        <f t="shared" ca="1" si="206"/>
        <v>1.1740315979928959</v>
      </c>
      <c r="W478" s="304">
        <f t="shared" ca="1" si="207"/>
        <v>24.585573702469251</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1.552793886098959</v>
      </c>
      <c r="AH478" s="304">
        <f t="shared" ca="1" si="231"/>
        <v>-8.2185217286278611</v>
      </c>
    </row>
    <row r="479" spans="1:34" x14ac:dyDescent="0.2">
      <c r="A479" s="347">
        <f t="shared" ca="1" si="209"/>
        <v>0.1</v>
      </c>
      <c r="B479" s="304">
        <f t="shared" ca="1" si="210"/>
        <v>32.700000000000152</v>
      </c>
      <c r="D479" s="306">
        <f t="shared" ca="1" si="211"/>
        <v>-0.7250516607359857</v>
      </c>
      <c r="E479" s="307">
        <f t="shared" ca="1" si="212"/>
        <v>-1.5897831475691095</v>
      </c>
      <c r="F479" s="304">
        <f t="shared" ca="1" si="213"/>
        <v>1.7473151882332953</v>
      </c>
      <c r="G479" s="306">
        <f t="shared" ca="1" si="214"/>
        <v>8.8126841801620941</v>
      </c>
      <c r="H479" s="307">
        <f t="shared" ca="1" si="215"/>
        <v>-100.89412196897094</v>
      </c>
      <c r="I479" s="304">
        <f t="shared" ca="1" si="216"/>
        <v>101.27826642645924</v>
      </c>
      <c r="J479" s="306">
        <f t="shared" ca="1" si="217"/>
        <v>715.33418947757707</v>
      </c>
      <c r="K479" s="307">
        <f t="shared" ca="1" si="218"/>
        <v>414.82667089886405</v>
      </c>
      <c r="L479" s="304">
        <f t="shared" ca="1" si="203"/>
        <v>826.91243159392434</v>
      </c>
      <c r="M479" s="306">
        <f t="shared" ca="1" si="219"/>
        <v>-1.4836715814993804</v>
      </c>
      <c r="N479" s="304">
        <f t="shared" ca="1" si="220"/>
        <v>-85.008119803414644</v>
      </c>
      <c r="P479" s="310">
        <f t="shared" ca="1" si="221"/>
        <v>23</v>
      </c>
      <c r="Q479" s="304">
        <f t="shared" ca="1" si="222"/>
        <v>0</v>
      </c>
      <c r="R479" s="306">
        <f t="shared" ca="1" si="223"/>
        <v>0</v>
      </c>
      <c r="S479" s="307">
        <f t="shared" ca="1" si="224"/>
        <v>2.9792999999999985</v>
      </c>
      <c r="T479" s="304">
        <f t="shared" ca="1" si="204"/>
        <v>29.226932999999988</v>
      </c>
      <c r="U479" s="311">
        <f t="shared" ca="1" si="205"/>
        <v>0</v>
      </c>
      <c r="V479" s="306">
        <f t="shared" ca="1" si="206"/>
        <v>1.1752163128746531</v>
      </c>
      <c r="W479" s="304">
        <f t="shared" ca="1" si="207"/>
        <v>24.684435416710265</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1.5199301132551426</v>
      </c>
      <c r="AH479" s="304">
        <f t="shared" ca="1" si="231"/>
        <v>-8.2521309376260401</v>
      </c>
    </row>
    <row r="480" spans="1:34" x14ac:dyDescent="0.2">
      <c r="A480" s="347">
        <f t="shared" ca="1" si="209"/>
        <v>0.1</v>
      </c>
      <c r="B480" s="304">
        <f t="shared" ca="1" si="210"/>
        <v>32.800000000000153</v>
      </c>
      <c r="D480" s="306">
        <f t="shared" ca="1" si="211"/>
        <v>-0.72094296699428961</v>
      </c>
      <c r="E480" s="307">
        <f t="shared" ca="1" si="212"/>
        <v>-1.5561120632992367</v>
      </c>
      <c r="F480" s="304">
        <f t="shared" ca="1" si="213"/>
        <v>1.7150053980101454</v>
      </c>
      <c r="G480" s="306">
        <f t="shared" ca="1" si="214"/>
        <v>8.7405898834626647</v>
      </c>
      <c r="H480" s="307">
        <f t="shared" ca="1" si="215"/>
        <v>-101.04973317530086</v>
      </c>
      <c r="I480" s="304">
        <f t="shared" ca="1" si="216"/>
        <v>101.42705007201181</v>
      </c>
      <c r="J480" s="306">
        <f t="shared" ca="1" si="217"/>
        <v>716.21185318075834</v>
      </c>
      <c r="K480" s="307">
        <f t="shared" ca="1" si="218"/>
        <v>404.72947814165047</v>
      </c>
      <c r="L480" s="304">
        <f t="shared" ca="1" si="203"/>
        <v>822.65750413731041</v>
      </c>
      <c r="M480" s="306">
        <f t="shared" ca="1" si="219"/>
        <v>-1.4845131843770054</v>
      </c>
      <c r="N480" s="304">
        <f t="shared" ca="1" si="220"/>
        <v>-85.056340096328626</v>
      </c>
      <c r="P480" s="310">
        <f t="shared" ca="1" si="221"/>
        <v>23</v>
      </c>
      <c r="Q480" s="304">
        <f t="shared" ca="1" si="222"/>
        <v>0</v>
      </c>
      <c r="R480" s="306">
        <f t="shared" ca="1" si="223"/>
        <v>0</v>
      </c>
      <c r="S480" s="307">
        <f t="shared" ca="1" si="224"/>
        <v>2.9792999999999985</v>
      </c>
      <c r="T480" s="304">
        <f t="shared" ca="1" si="204"/>
        <v>29.226932999999988</v>
      </c>
      <c r="U480" s="311">
        <f t="shared" ca="1" si="205"/>
        <v>0</v>
      </c>
      <c r="V480" s="306">
        <f t="shared" ca="1" si="206"/>
        <v>1.176404049609711</v>
      </c>
      <c r="W480" s="304">
        <f t="shared" ca="1" si="207"/>
        <v>24.78203519130571</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1.4874772539798631</v>
      </c>
      <c r="AH480" s="304">
        <f t="shared" ca="1" si="231"/>
        <v>-8.2853138041520751</v>
      </c>
    </row>
    <row r="481" spans="1:34" x14ac:dyDescent="0.2">
      <c r="A481" s="347">
        <f t="shared" ca="1" si="209"/>
        <v>0.1</v>
      </c>
      <c r="B481" s="304">
        <f t="shared" ca="1" si="210"/>
        <v>32.900000000000155</v>
      </c>
      <c r="D481" s="306">
        <f t="shared" ca="1" si="211"/>
        <v>-0.71681928587368204</v>
      </c>
      <c r="E481" s="307">
        <f t="shared" ca="1" si="212"/>
        <v>-1.5228708086976717</v>
      </c>
      <c r="F481" s="304">
        <f t="shared" ca="1" si="213"/>
        <v>1.6831415236348832</v>
      </c>
      <c r="G481" s="306">
        <f t="shared" ca="1" si="214"/>
        <v>8.6689079548752961</v>
      </c>
      <c r="H481" s="307">
        <f t="shared" ca="1" si="215"/>
        <v>-101.20202025617063</v>
      </c>
      <c r="I481" s="304">
        <f t="shared" ca="1" si="216"/>
        <v>101.57262854263676</v>
      </c>
      <c r="J481" s="306">
        <f t="shared" ca="1" si="217"/>
        <v>717.08232807267518</v>
      </c>
      <c r="K481" s="307">
        <f t="shared" ca="1" si="218"/>
        <v>394.6168904700769</v>
      </c>
      <c r="L481" s="304">
        <f t="shared" ca="1" si="203"/>
        <v>818.49224521579947</v>
      </c>
      <c r="M481" s="306">
        <f t="shared" ca="1" si="219"/>
        <v>-1.4853454832656425</v>
      </c>
      <c r="N481" s="304">
        <f t="shared" ca="1" si="220"/>
        <v>-85.10402730994096</v>
      </c>
      <c r="P481" s="310">
        <f t="shared" ca="1" si="221"/>
        <v>23</v>
      </c>
      <c r="Q481" s="304">
        <f t="shared" ca="1" si="222"/>
        <v>0</v>
      </c>
      <c r="R481" s="306">
        <f t="shared" ca="1" si="223"/>
        <v>0</v>
      </c>
      <c r="S481" s="307">
        <f t="shared" ca="1" si="224"/>
        <v>2.9792999999999985</v>
      </c>
      <c r="T481" s="304">
        <f t="shared" ca="1" si="204"/>
        <v>29.226932999999988</v>
      </c>
      <c r="U481" s="311">
        <f t="shared" ca="1" si="205"/>
        <v>0</v>
      </c>
      <c r="V481" s="306">
        <f t="shared" ca="1" si="206"/>
        <v>1.1775947760213408</v>
      </c>
      <c r="W481" s="304">
        <f t="shared" ca="1" si="207"/>
        <v>24.878381471220507</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1.4554328985824547</v>
      </c>
      <c r="AH481" s="304">
        <f t="shared" ca="1" si="231"/>
        <v>-8.3180731015022733</v>
      </c>
    </row>
    <row r="482" spans="1:34" x14ac:dyDescent="0.2">
      <c r="A482" s="347">
        <f t="shared" ca="1" si="209"/>
        <v>0.1</v>
      </c>
      <c r="B482" s="304">
        <f t="shared" ca="1" si="210"/>
        <v>33.000000000000156</v>
      </c>
      <c r="D482" s="306">
        <f t="shared" ca="1" si="211"/>
        <v>-0.71268166573125991</v>
      </c>
      <c r="E482" s="307">
        <f t="shared" ca="1" si="212"/>
        <v>-1.4900565022755536</v>
      </c>
      <c r="F482" s="304">
        <f t="shared" ca="1" si="213"/>
        <v>1.651721385901127</v>
      </c>
      <c r="G482" s="306">
        <f t="shared" ca="1" si="214"/>
        <v>8.5976397883021694</v>
      </c>
      <c r="H482" s="307">
        <f t="shared" ca="1" si="215"/>
        <v>-101.35102590639818</v>
      </c>
      <c r="I482" s="304">
        <f t="shared" ca="1" si="216"/>
        <v>101.71504245788226</v>
      </c>
      <c r="J482" s="306">
        <f t="shared" ca="1" si="217"/>
        <v>717.94565545983403</v>
      </c>
      <c r="K482" s="307">
        <f t="shared" ca="1" si="218"/>
        <v>384.48923816194844</v>
      </c>
      <c r="L482" s="304">
        <f t="shared" ca="1" si="203"/>
        <v>814.41877339364316</v>
      </c>
      <c r="M482" s="306">
        <f t="shared" ca="1" si="219"/>
        <v>-1.4861686192199519</v>
      </c>
      <c r="N482" s="304">
        <f t="shared" ca="1" si="220"/>
        <v>-85.151189526088359</v>
      </c>
      <c r="P482" s="310">
        <f t="shared" ca="1" si="221"/>
        <v>23</v>
      </c>
      <c r="Q482" s="304">
        <f t="shared" ca="1" si="222"/>
        <v>0</v>
      </c>
      <c r="R482" s="306">
        <f t="shared" ca="1" si="223"/>
        <v>0</v>
      </c>
      <c r="S482" s="307">
        <f t="shared" ca="1" si="224"/>
        <v>2.9792999999999985</v>
      </c>
      <c r="T482" s="304">
        <f t="shared" ca="1" si="204"/>
        <v>29.226932999999988</v>
      </c>
      <c r="U482" s="311">
        <f t="shared" ca="1" si="205"/>
        <v>0</v>
      </c>
      <c r="V482" s="306">
        <f t="shared" ca="1" si="206"/>
        <v>1.1787884603096528</v>
      </c>
      <c r="W482" s="304">
        <f t="shared" ca="1" si="207"/>
        <v>24.973482874755671</v>
      </c>
      <c r="Y482" s="314" t="str">
        <f t="shared" ca="1" si="225"/>
        <v/>
      </c>
      <c r="Z482" s="315" t="str">
        <f t="shared" ca="1" si="226"/>
        <v/>
      </c>
      <c r="AA482" s="316" t="str">
        <f t="shared" ca="1" si="227"/>
        <v/>
      </c>
      <c r="AC482" s="310">
        <f t="shared" ca="1" si="228"/>
        <v>33.000000000000156</v>
      </c>
      <c r="AD482" s="323">
        <f t="shared" ca="1" si="229"/>
        <v>717.94565545983403</v>
      </c>
      <c r="AE482" s="324" t="e">
        <f t="shared" ca="1" si="208"/>
        <v>#N/A</v>
      </c>
      <c r="AG482" s="306">
        <f t="shared" ca="1" si="230"/>
        <v>1.4237945659156779</v>
      </c>
      <c r="AH482" s="304">
        <f t="shared" ca="1" si="231"/>
        <v>-8.3504116642233139</v>
      </c>
    </row>
    <row r="483" spans="1:34" x14ac:dyDescent="0.2">
      <c r="A483" s="347">
        <f t="shared" ca="1" si="209"/>
        <v>0.1</v>
      </c>
      <c r="B483" s="304">
        <f t="shared" ca="1" si="210"/>
        <v>33.100000000000158</v>
      </c>
      <c r="D483" s="306">
        <f t="shared" ca="1" si="211"/>
        <v>-0.70853113453944505</v>
      </c>
      <c r="E483" s="307">
        <f t="shared" ca="1" si="212"/>
        <v>-1.4576662037061503</v>
      </c>
      <c r="F483" s="304">
        <f t="shared" ca="1" si="213"/>
        <v>1.6207427710894944</v>
      </c>
      <c r="G483" s="306">
        <f t="shared" ca="1" si="214"/>
        <v>8.5267866748482248</v>
      </c>
      <c r="H483" s="307">
        <f t="shared" ca="1" si="215"/>
        <v>-101.49679252676879</v>
      </c>
      <c r="I483" s="304">
        <f t="shared" ca="1" si="216"/>
        <v>101.85433218189748</v>
      </c>
      <c r="J483" s="306">
        <f t="shared" ca="1" si="217"/>
        <v>718.8018767829916</v>
      </c>
      <c r="K483" s="307">
        <f t="shared" ca="1" si="218"/>
        <v>374.34684724029006</v>
      </c>
      <c r="L483" s="304">
        <f t="shared" ca="1" si="203"/>
        <v>810.43920197970192</v>
      </c>
      <c r="M483" s="306">
        <f t="shared" ca="1" si="219"/>
        <v>-1.4869827301972589</v>
      </c>
      <c r="N483" s="304">
        <f t="shared" ca="1" si="220"/>
        <v>-85.197834649143331</v>
      </c>
      <c r="P483" s="310">
        <f t="shared" ca="1" si="221"/>
        <v>23</v>
      </c>
      <c r="Q483" s="304">
        <f t="shared" ca="1" si="222"/>
        <v>0</v>
      </c>
      <c r="R483" s="306">
        <f t="shared" ca="1" si="223"/>
        <v>0</v>
      </c>
      <c r="S483" s="307">
        <f t="shared" ca="1" si="224"/>
        <v>2.9792999999999985</v>
      </c>
      <c r="T483" s="304">
        <f t="shared" ca="1" si="204"/>
        <v>29.226932999999988</v>
      </c>
      <c r="U483" s="311">
        <f t="shared" ca="1" si="205"/>
        <v>0</v>
      </c>
      <c r="V483" s="306">
        <f t="shared" ca="1" si="206"/>
        <v>1.1799850710496305</v>
      </c>
      <c r="W483" s="304">
        <f t="shared" ca="1" si="207"/>
        <v>25.067348184600416</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1.3925597067885747</v>
      </c>
      <c r="AH483" s="304">
        <f t="shared" ca="1" si="231"/>
        <v>-8.3823323850420177</v>
      </c>
    </row>
    <row r="484" spans="1:34" x14ac:dyDescent="0.2">
      <c r="A484" s="347">
        <f t="shared" ca="1" si="209"/>
        <v>0.1</v>
      </c>
      <c r="B484" s="304">
        <f t="shared" ca="1" si="210"/>
        <v>33.200000000000159</v>
      </c>
      <c r="D484" s="306">
        <f t="shared" ca="1" si="211"/>
        <v>-0.70436870000885976</v>
      </c>
      <c r="E484" s="307">
        <f t="shared" ca="1" si="212"/>
        <v>-1.425696916866805</v>
      </c>
      <c r="F484" s="304">
        <f t="shared" ca="1" si="213"/>
        <v>1.5902034348836267</v>
      </c>
      <c r="G484" s="306">
        <f t="shared" ca="1" si="214"/>
        <v>8.4563498048473384</v>
      </c>
      <c r="H484" s="307">
        <f t="shared" ca="1" si="215"/>
        <v>-101.63936221845546</v>
      </c>
      <c r="I484" s="304">
        <f t="shared" ca="1" si="216"/>
        <v>101.99053781697758</v>
      </c>
      <c r="J484" s="306">
        <f t="shared" ca="1" si="217"/>
        <v>719.6510336069764</v>
      </c>
      <c r="K484" s="307">
        <f t="shared" ca="1" si="218"/>
        <v>364.19003950302886</v>
      </c>
      <c r="L484" s="304">
        <f t="shared" ca="1" si="203"/>
        <v>806.55563667040803</v>
      </c>
      <c r="M484" s="306">
        <f t="shared" ca="1" si="219"/>
        <v>-1.487787951145221</v>
      </c>
      <c r="N484" s="304">
        <f t="shared" ca="1" si="220"/>
        <v>-85.243970411037083</v>
      </c>
      <c r="P484" s="310">
        <f t="shared" ca="1" si="221"/>
        <v>23</v>
      </c>
      <c r="Q484" s="304">
        <f t="shared" ca="1" si="222"/>
        <v>0</v>
      </c>
      <c r="R484" s="306">
        <f t="shared" ca="1" si="223"/>
        <v>0</v>
      </c>
      <c r="S484" s="307">
        <f t="shared" ca="1" si="224"/>
        <v>2.9792999999999985</v>
      </c>
      <c r="T484" s="304">
        <f t="shared" ca="1" si="204"/>
        <v>29.226932999999988</v>
      </c>
      <c r="U484" s="311">
        <f t="shared" ca="1" si="205"/>
        <v>0</v>
      </c>
      <c r="V484" s="306">
        <f t="shared" ca="1" si="206"/>
        <v>1.1811845771890963</v>
      </c>
      <c r="W484" s="304">
        <f t="shared" ca="1" si="207"/>
        <v>25.159986339083627</v>
      </c>
      <c r="Y484" s="314" t="str">
        <f t="shared" ca="1" si="225"/>
        <v/>
      </c>
      <c r="Z484" s="315" t="str">
        <f t="shared" ca="1" si="226"/>
        <v/>
      </c>
      <c r="AA484" s="316" t="str">
        <f t="shared" ca="1" si="227"/>
        <v/>
      </c>
      <c r="AC484" s="310" t="e">
        <f t="shared" ca="1" si="228"/>
        <v>#N/A</v>
      </c>
      <c r="AD484" s="323" t="e">
        <f t="shared" ca="1" si="229"/>
        <v>#N/A</v>
      </c>
      <c r="AE484" s="324" t="e">
        <f t="shared" ca="1" si="208"/>
        <v>#N/A</v>
      </c>
      <c r="AG484" s="306">
        <f t="shared" ca="1" si="230"/>
        <v>1.3617257072990654</v>
      </c>
      <c r="AH484" s="304">
        <f t="shared" ca="1" si="231"/>
        <v>-8.4138382118619912</v>
      </c>
    </row>
    <row r="485" spans="1:34" x14ac:dyDescent="0.2">
      <c r="A485" s="347">
        <f t="shared" ca="1" si="209"/>
        <v>0.1</v>
      </c>
      <c r="B485" s="304">
        <f t="shared" ca="1" si="210"/>
        <v>33.300000000000161</v>
      </c>
      <c r="D485" s="306">
        <f t="shared" ca="1" si="211"/>
        <v>-0.70019534971969577</v>
      </c>
      <c r="E485" s="307">
        <f t="shared" ca="1" si="212"/>
        <v>-1.3941455928131425</v>
      </c>
      <c r="F485" s="304">
        <f t="shared" ca="1" si="213"/>
        <v>1.5601011062522185</v>
      </c>
      <c r="G485" s="306">
        <f t="shared" ca="1" si="214"/>
        <v>8.3863302698753692</v>
      </c>
      <c r="H485" s="307">
        <f t="shared" ca="1" si="215"/>
        <v>-101.77877677773678</v>
      </c>
      <c r="I485" s="304">
        <f t="shared" ca="1" si="216"/>
        <v>102.12369919743311</v>
      </c>
      <c r="J485" s="306">
        <f t="shared" ca="1" si="217"/>
        <v>720.49316761071259</v>
      </c>
      <c r="K485" s="307">
        <f t="shared" ca="1" si="218"/>
        <v>354.01913255321926</v>
      </c>
      <c r="L485" s="304">
        <f t="shared" ca="1" si="203"/>
        <v>802.77017308034817</v>
      </c>
      <c r="M485" s="306">
        <f t="shared" ca="1" si="219"/>
        <v>-1.4885844140865805</v>
      </c>
      <c r="N485" s="304">
        <f t="shared" ca="1" si="220"/>
        <v>-85.289604376115548</v>
      </c>
      <c r="P485" s="310">
        <f t="shared" ca="1" si="221"/>
        <v>23</v>
      </c>
      <c r="Q485" s="304">
        <f t="shared" ca="1" si="222"/>
        <v>0</v>
      </c>
      <c r="R485" s="306">
        <f t="shared" ca="1" si="223"/>
        <v>0</v>
      </c>
      <c r="S485" s="307">
        <f t="shared" ca="1" si="224"/>
        <v>2.9792999999999985</v>
      </c>
      <c r="T485" s="304">
        <f t="shared" ca="1" si="204"/>
        <v>29.226932999999988</v>
      </c>
      <c r="U485" s="311">
        <f t="shared" ca="1" si="205"/>
        <v>0</v>
      </c>
      <c r="V485" s="306">
        <f t="shared" ca="1" si="206"/>
        <v>1.1823869480466298</v>
      </c>
      <c r="W485" s="304">
        <f t="shared" ca="1" si="207"/>
        <v>25.251406423623962</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1.3312898920868257</v>
      </c>
      <c r="AH485" s="304">
        <f t="shared" ca="1" si="231"/>
        <v>-8.4449321448271881</v>
      </c>
    </row>
    <row r="486" spans="1:34" x14ac:dyDescent="0.2">
      <c r="A486" s="347">
        <f t="shared" ca="1" si="209"/>
        <v>0.1</v>
      </c>
      <c r="B486" s="304">
        <f t="shared" ca="1" si="210"/>
        <v>33.400000000000162</v>
      </c>
      <c r="D486" s="306">
        <f t="shared" ca="1" si="211"/>
        <v>-0.69601205126110144</v>
      </c>
      <c r="E486" s="307">
        <f t="shared" ca="1" si="212"/>
        <v>-1.3630091326857539</v>
      </c>
      <c r="F486" s="304">
        <f t="shared" ca="1" si="213"/>
        <v>1.5304334912976314</v>
      </c>
      <c r="G486" s="306">
        <f t="shared" ca="1" si="214"/>
        <v>8.3167290647492589</v>
      </c>
      <c r="H486" s="307">
        <f t="shared" ca="1" si="215"/>
        <v>-101.91507769100535</v>
      </c>
      <c r="I486" s="304">
        <f t="shared" ca="1" si="216"/>
        <v>102.25385588377634</v>
      </c>
      <c r="J486" s="306">
        <f t="shared" ca="1" si="217"/>
        <v>721.32832057744383</v>
      </c>
      <c r="K486" s="307">
        <f t="shared" ca="1" si="218"/>
        <v>343.83443982978218</v>
      </c>
      <c r="L486" s="304">
        <f t="shared" ca="1" si="203"/>
        <v>799.08489416340217</v>
      </c>
      <c r="M486" s="306">
        <f t="shared" ca="1" si="219"/>
        <v>-1.4893722482011102</v>
      </c>
      <c r="N486" s="304">
        <f t="shared" ca="1" si="220"/>
        <v>-85.334743945834532</v>
      </c>
      <c r="P486" s="310">
        <f t="shared" ca="1" si="221"/>
        <v>23</v>
      </c>
      <c r="Q486" s="304">
        <f t="shared" ca="1" si="222"/>
        <v>0</v>
      </c>
      <c r="R486" s="306">
        <f t="shared" ca="1" si="223"/>
        <v>0</v>
      </c>
      <c r="S486" s="307">
        <f t="shared" ca="1" si="224"/>
        <v>2.9792999999999985</v>
      </c>
      <c r="T486" s="304">
        <f t="shared" ca="1" si="204"/>
        <v>29.226932999999988</v>
      </c>
      <c r="U486" s="311">
        <f t="shared" ca="1" si="205"/>
        <v>0</v>
      </c>
      <c r="V486" s="306">
        <f t="shared" ca="1" si="206"/>
        <v>1.1835921533094225</v>
      </c>
      <c r="W486" s="304">
        <f t="shared" ca="1" si="207"/>
        <v>25.341617662377896</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1.3012495275072347</v>
      </c>
      <c r="AH486" s="304">
        <f t="shared" ca="1" si="231"/>
        <v>-8.4756172334521445</v>
      </c>
    </row>
    <row r="487" spans="1:34" x14ac:dyDescent="0.2">
      <c r="A487" s="347">
        <f t="shared" ca="1" si="209"/>
        <v>0.1</v>
      </c>
      <c r="B487" s="304">
        <f t="shared" ca="1" si="210"/>
        <v>33.500000000000163</v>
      </c>
      <c r="D487" s="306">
        <f t="shared" ca="1" si="211"/>
        <v>-0.69181975237818361</v>
      </c>
      <c r="E487" s="307">
        <f t="shared" ca="1" si="212"/>
        <v>-1.3322843905495834</v>
      </c>
      <c r="F487" s="304">
        <f t="shared" ca="1" si="213"/>
        <v>1.5011982770715819</v>
      </c>
      <c r="G487" s="306">
        <f t="shared" ca="1" si="214"/>
        <v>8.2475470895114409</v>
      </c>
      <c r="H487" s="307">
        <f t="shared" ca="1" si="215"/>
        <v>-102.04830613006031</v>
      </c>
      <c r="I487" s="304">
        <f t="shared" ca="1" si="216"/>
        <v>102.38104715721661</v>
      </c>
      <c r="J487" s="306">
        <f t="shared" ca="1" si="217"/>
        <v>722.15653438515687</v>
      </c>
      <c r="K487" s="307">
        <f t="shared" ca="1" si="218"/>
        <v>333.63627063872889</v>
      </c>
      <c r="L487" s="304">
        <f t="shared" ca="1" si="203"/>
        <v>795.50186752822867</v>
      </c>
      <c r="M487" s="306">
        <f t="shared" ca="1" si="219"/>
        <v>-1.4901515799048595</v>
      </c>
      <c r="N487" s="304">
        <f t="shared" ca="1" si="220"/>
        <v>-85.379396363300103</v>
      </c>
      <c r="P487" s="310">
        <f t="shared" ca="1" si="221"/>
        <v>23</v>
      </c>
      <c r="Q487" s="304">
        <f t="shared" ca="1" si="222"/>
        <v>0</v>
      </c>
      <c r="R487" s="306">
        <f t="shared" ca="1" si="223"/>
        <v>0</v>
      </c>
      <c r="S487" s="307">
        <f t="shared" ca="1" si="224"/>
        <v>2.9792999999999985</v>
      </c>
      <c r="T487" s="304">
        <f t="shared" ca="1" si="204"/>
        <v>29.226932999999988</v>
      </c>
      <c r="U487" s="311">
        <f t="shared" ca="1" si="205"/>
        <v>0</v>
      </c>
      <c r="V487" s="306">
        <f t="shared" ca="1" si="206"/>
        <v>1.1848001630310854</v>
      </c>
      <c r="W487" s="304">
        <f t="shared" ca="1" si="207"/>
        <v>25.430629410085029</v>
      </c>
      <c r="Y487" s="314" t="str">
        <f t="shared" ca="1" si="225"/>
        <v/>
      </c>
      <c r="Z487" s="315" t="str">
        <f t="shared" ca="1" si="226"/>
        <v/>
      </c>
      <c r="AA487" s="316" t="str">
        <f t="shared" ca="1" si="227"/>
        <v/>
      </c>
      <c r="AC487" s="310" t="e">
        <f t="shared" ca="1" si="228"/>
        <v>#N/A</v>
      </c>
      <c r="AD487" s="323" t="e">
        <f t="shared" ca="1" si="229"/>
        <v>#N/A</v>
      </c>
      <c r="AE487" s="324" t="e">
        <f t="shared" ca="1" si="208"/>
        <v>#N/A</v>
      </c>
      <c r="AG487" s="306">
        <f t="shared" ca="1" si="230"/>
        <v>1.2716018247272114</v>
      </c>
      <c r="AH487" s="304">
        <f t="shared" ca="1" si="231"/>
        <v>-8.5058965738186512</v>
      </c>
    </row>
    <row r="488" spans="1:34" x14ac:dyDescent="0.2">
      <c r="A488" s="347">
        <f t="shared" ca="1" si="209"/>
        <v>0.1</v>
      </c>
      <c r="B488" s="304">
        <f t="shared" ca="1" si="210"/>
        <v>33.600000000000165</v>
      </c>
      <c r="D488" s="306">
        <f t="shared" ca="1" si="211"/>
        <v>-0.68761938112621313</v>
      </c>
      <c r="E488" s="307">
        <f t="shared" ca="1" si="212"/>
        <v>-1.3019681761662998</v>
      </c>
      <c r="F488" s="304">
        <f t="shared" ca="1" si="213"/>
        <v>1.4723931353582838</v>
      </c>
      <c r="G488" s="306">
        <f t="shared" ca="1" si="214"/>
        <v>8.1787851513988201</v>
      </c>
      <c r="H488" s="307">
        <f t="shared" ca="1" si="215"/>
        <v>-102.17850294767695</v>
      </c>
      <c r="I488" s="304">
        <f t="shared" ca="1" si="216"/>
        <v>102.50531201445693</v>
      </c>
      <c r="J488" s="306">
        <f t="shared" ca="1" si="217"/>
        <v>722.97785099720238</v>
      </c>
      <c r="K488" s="307">
        <f t="shared" ca="1" si="218"/>
        <v>323.42493018484203</v>
      </c>
      <c r="L488" s="304">
        <f t="shared" ca="1" si="203"/>
        <v>792.02314265279074</v>
      </c>
      <c r="M488" s="306">
        <f t="shared" ca="1" si="219"/>
        <v>-1.4909225329268039</v>
      </c>
      <c r="N488" s="304">
        <f t="shared" ca="1" si="220"/>
        <v>-85.423568717660373</v>
      </c>
      <c r="P488" s="310">
        <f t="shared" ca="1" si="221"/>
        <v>23</v>
      </c>
      <c r="Q488" s="304">
        <f t="shared" ca="1" si="222"/>
        <v>0</v>
      </c>
      <c r="R488" s="306">
        <f t="shared" ca="1" si="223"/>
        <v>0</v>
      </c>
      <c r="S488" s="307">
        <f t="shared" ca="1" si="224"/>
        <v>2.9792999999999985</v>
      </c>
      <c r="T488" s="304">
        <f t="shared" ca="1" si="204"/>
        <v>29.226932999999988</v>
      </c>
      <c r="U488" s="311">
        <f t="shared" ca="1" si="205"/>
        <v>0</v>
      </c>
      <c r="V488" s="306">
        <f t="shared" ca="1" si="206"/>
        <v>1.1860109476294036</v>
      </c>
      <c r="W488" s="304">
        <f t="shared" ca="1" si="207"/>
        <v>25.518451144109328</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1.2423439427436094</v>
      </c>
      <c r="AH488" s="304">
        <f t="shared" ca="1" si="231"/>
        <v>-8.5357733058386334</v>
      </c>
    </row>
    <row r="489" spans="1:34" x14ac:dyDescent="0.2">
      <c r="A489" s="347">
        <f t="shared" ca="1" si="209"/>
        <v>0.1</v>
      </c>
      <c r="B489" s="304">
        <f t="shared" ca="1" si="210"/>
        <v>33.700000000000166</v>
      </c>
      <c r="D489" s="306">
        <f t="shared" ca="1" si="211"/>
        <v>-0.683411846031591</v>
      </c>
      <c r="E489" s="307">
        <f t="shared" ca="1" si="212"/>
        <v>-1.2720572577000304</v>
      </c>
      <c r="F489" s="304">
        <f t="shared" ca="1" si="213"/>
        <v>1.4440157264253144</v>
      </c>
      <c r="G489" s="306">
        <f t="shared" ca="1" si="214"/>
        <v>8.1104439667956605</v>
      </c>
      <c r="H489" s="307">
        <f t="shared" ca="1" si="215"/>
        <v>-102.30570867344694</v>
      </c>
      <c r="I489" s="304">
        <f t="shared" ca="1" si="216"/>
        <v>102.6266891627842</v>
      </c>
      <c r="J489" s="306">
        <f t="shared" ca="1" si="217"/>
        <v>723.79231245311212</v>
      </c>
      <c r="K489" s="307">
        <f t="shared" ca="1" si="218"/>
        <v>313.20071960378584</v>
      </c>
      <c r="L489" s="304">
        <f t="shared" ca="1" si="203"/>
        <v>788.65074800354614</v>
      </c>
      <c r="M489" s="306">
        <f t="shared" ca="1" si="219"/>
        <v>-1.4916852283829909</v>
      </c>
      <c r="N489" s="304">
        <f t="shared" ca="1" si="220"/>
        <v>-85.467267948353694</v>
      </c>
      <c r="P489" s="310">
        <f t="shared" ca="1" si="221"/>
        <v>23</v>
      </c>
      <c r="Q489" s="304">
        <f t="shared" ca="1" si="222"/>
        <v>0</v>
      </c>
      <c r="R489" s="306">
        <f t="shared" ca="1" si="223"/>
        <v>0</v>
      </c>
      <c r="S489" s="307">
        <f t="shared" ca="1" si="224"/>
        <v>2.9792999999999985</v>
      </c>
      <c r="T489" s="304">
        <f t="shared" ca="1" si="204"/>
        <v>29.226932999999988</v>
      </c>
      <c r="U489" s="311">
        <f t="shared" ca="1" si="205"/>
        <v>0</v>
      </c>
      <c r="V489" s="306">
        <f t="shared" ca="1" si="206"/>
        <v>1.1872244778840428</v>
      </c>
      <c r="W489" s="304">
        <f t="shared" ca="1" si="207"/>
        <v>25.605092456675365</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1.2134729913251725</v>
      </c>
      <c r="AH489" s="304">
        <f t="shared" ca="1" si="231"/>
        <v>-8.565250610582801</v>
      </c>
    </row>
    <row r="490" spans="1:34" x14ac:dyDescent="0.2">
      <c r="A490" s="347">
        <f t="shared" ca="1" si="209"/>
        <v>0.1</v>
      </c>
      <c r="B490" s="304">
        <f t="shared" ca="1" si="210"/>
        <v>33.800000000000168</v>
      </c>
      <c r="D490" s="306">
        <f t="shared" ca="1" si="211"/>
        <v>-0.67919803625924891</v>
      </c>
      <c r="E490" s="307">
        <f t="shared" ca="1" si="212"/>
        <v>-1.2425483643568125</v>
      </c>
      <c r="F490" s="304">
        <f t="shared" ca="1" si="213"/>
        <v>1.416063702742292</v>
      </c>
      <c r="G490" s="306">
        <f t="shared" ca="1" si="214"/>
        <v>8.0425241631697357</v>
      </c>
      <c r="H490" s="307">
        <f t="shared" ca="1" si="215"/>
        <v>-102.42996350988263</v>
      </c>
      <c r="I490" s="304">
        <f t="shared" ca="1" si="216"/>
        <v>102.74521701544582</v>
      </c>
      <c r="J490" s="306">
        <f t="shared" ca="1" si="217"/>
        <v>724.59996085961041</v>
      </c>
      <c r="K490" s="307">
        <f t="shared" ca="1" si="218"/>
        <v>302.96393599461936</v>
      </c>
      <c r="L490" s="304">
        <f t="shared" ca="1" si="203"/>
        <v>785.38668806588566</v>
      </c>
      <c r="M490" s="306">
        <f t="shared" ca="1" si="219"/>
        <v>-1.492439784848282</v>
      </c>
      <c r="N490" s="304">
        <f t="shared" ca="1" si="220"/>
        <v>-85.510500849219184</v>
      </c>
      <c r="P490" s="310">
        <f t="shared" ca="1" si="221"/>
        <v>23</v>
      </c>
      <c r="Q490" s="304">
        <f t="shared" ca="1" si="222"/>
        <v>0</v>
      </c>
      <c r="R490" s="306">
        <f t="shared" ca="1" si="223"/>
        <v>0</v>
      </c>
      <c r="S490" s="307">
        <f t="shared" ca="1" si="224"/>
        <v>2.9792999999999985</v>
      </c>
      <c r="T490" s="304">
        <f t="shared" ca="1" si="204"/>
        <v>29.226932999999988</v>
      </c>
      <c r="U490" s="311">
        <f t="shared" ca="1" si="205"/>
        <v>0</v>
      </c>
      <c r="V490" s="306">
        <f t="shared" ca="1" si="206"/>
        <v>1.1884407249342113</v>
      </c>
      <c r="W490" s="304">
        <f t="shared" ca="1" si="207"/>
        <v>25.690563047298181</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1.1849860338787792</v>
      </c>
      <c r="AH490" s="304">
        <f t="shared" ca="1" si="231"/>
        <v>-8.5943317076747476</v>
      </c>
    </row>
    <row r="491" spans="1:34" x14ac:dyDescent="0.2">
      <c r="A491" s="347">
        <f t="shared" ca="1" si="209"/>
        <v>0.1</v>
      </c>
      <c r="B491" s="304">
        <f t="shared" ca="1" si="210"/>
        <v>33.900000000000169</v>
      </c>
      <c r="D491" s="306">
        <f t="shared" ca="1" si="211"/>
        <v>-0.67497882178601976</v>
      </c>
      <c r="E491" s="307">
        <f t="shared" ca="1" si="212"/>
        <v>-1.213438188958234</v>
      </c>
      <c r="F491" s="304">
        <f t="shared" ca="1" si="213"/>
        <v>1.3885347126672356</v>
      </c>
      <c r="G491" s="306">
        <f t="shared" ca="1" si="214"/>
        <v>7.9750262809911341</v>
      </c>
      <c r="H491" s="307">
        <f t="shared" ca="1" si="215"/>
        <v>-102.55130732877845</v>
      </c>
      <c r="I491" s="304">
        <f t="shared" ca="1" si="216"/>
        <v>102.86093368730457</v>
      </c>
      <c r="J491" s="306">
        <f t="shared" ca="1" si="217"/>
        <v>725.4008383818184</v>
      </c>
      <c r="K491" s="307">
        <f t="shared" ca="1" si="218"/>
        <v>292.71487245268634</v>
      </c>
      <c r="L491" s="304">
        <f t="shared" ca="1" si="203"/>
        <v>782.23294029338695</v>
      </c>
      <c r="M491" s="306">
        <f t="shared" ca="1" si="219"/>
        <v>-1.4931863184257723</v>
      </c>
      <c r="N491" s="304">
        <f t="shared" ca="1" si="220"/>
        <v>-85.553274072474181</v>
      </c>
      <c r="P491" s="310">
        <f t="shared" ca="1" si="221"/>
        <v>23</v>
      </c>
      <c r="Q491" s="304">
        <f t="shared" ca="1" si="222"/>
        <v>0</v>
      </c>
      <c r="R491" s="306">
        <f t="shared" ca="1" si="223"/>
        <v>0</v>
      </c>
      <c r="S491" s="307">
        <f t="shared" ca="1" si="224"/>
        <v>2.9792999999999985</v>
      </c>
      <c r="T491" s="304">
        <f t="shared" ca="1" si="204"/>
        <v>29.226932999999988</v>
      </c>
      <c r="U491" s="311">
        <f t="shared" ca="1" si="205"/>
        <v>0</v>
      </c>
      <c r="V491" s="306">
        <f t="shared" ca="1" si="206"/>
        <v>1.1896596602762792</v>
      </c>
      <c r="W491" s="304">
        <f t="shared" ca="1" si="207"/>
        <v>25.774872715405166</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1.1568800902408842</v>
      </c>
      <c r="AH491" s="304">
        <f t="shared" ca="1" si="231"/>
        <v>-8.6230198527500406</v>
      </c>
    </row>
    <row r="492" spans="1:34" x14ac:dyDescent="0.2">
      <c r="A492" s="347">
        <f t="shared" ca="1" si="209"/>
        <v>0.1</v>
      </c>
      <c r="B492" s="304">
        <f t="shared" ca="1" si="210"/>
        <v>34.000000000000171</v>
      </c>
      <c r="D492" s="306">
        <f t="shared" ca="1" si="211"/>
        <v>-0.67075505357968024</v>
      </c>
      <c r="E492" s="307">
        <f t="shared" ca="1" si="212"/>
        <v>-1.1847233904497774</v>
      </c>
      <c r="F492" s="304">
        <f t="shared" ca="1" si="213"/>
        <v>1.3614264041003081</v>
      </c>
      <c r="G492" s="306">
        <f t="shared" ca="1" si="214"/>
        <v>7.9079507756331662</v>
      </c>
      <c r="H492" s="307">
        <f t="shared" ca="1" si="215"/>
        <v>-102.66977966782343</v>
      </c>
      <c r="I492" s="304">
        <f t="shared" ca="1" si="216"/>
        <v>102.97387699076522</v>
      </c>
      <c r="J492" s="306">
        <f t="shared" ca="1" si="217"/>
        <v>726.1949872346496</v>
      </c>
      <c r="K492" s="307">
        <f t="shared" ca="1" si="218"/>
        <v>282.45381810285625</v>
      </c>
      <c r="L492" s="304">
        <f t="shared" ca="1" si="203"/>
        <v>779.19145198443641</v>
      </c>
      <c r="M492" s="306">
        <f t="shared" ca="1" si="219"/>
        <v>-1.4939249428139803</v>
      </c>
      <c r="N492" s="304">
        <f t="shared" ca="1" si="220"/>
        <v>-85.595594132563932</v>
      </c>
      <c r="P492" s="310">
        <f t="shared" ca="1" si="221"/>
        <v>23</v>
      </c>
      <c r="Q492" s="304">
        <f t="shared" ca="1" si="222"/>
        <v>0</v>
      </c>
      <c r="R492" s="306">
        <f t="shared" ca="1" si="223"/>
        <v>0</v>
      </c>
      <c r="S492" s="307">
        <f t="shared" ca="1" si="224"/>
        <v>2.9792999999999985</v>
      </c>
      <c r="T492" s="304">
        <f t="shared" ca="1" si="204"/>
        <v>29.226932999999988</v>
      </c>
      <c r="U492" s="311">
        <f t="shared" ca="1" si="205"/>
        <v>0</v>
      </c>
      <c r="V492" s="306">
        <f t="shared" ca="1" si="206"/>
        <v>1.1908812557613544</v>
      </c>
      <c r="W492" s="304">
        <f t="shared" ca="1" si="207"/>
        <v>25.858031353148618</v>
      </c>
      <c r="Y492" s="314" t="str">
        <f t="shared" ca="1" si="225"/>
        <v/>
      </c>
      <c r="Z492" s="315" t="str">
        <f t="shared" ca="1" si="226"/>
        <v/>
      </c>
      <c r="AA492" s="316" t="str">
        <f t="shared" ca="1" si="227"/>
        <v/>
      </c>
      <c r="AC492" s="310">
        <f t="shared" ca="1" si="228"/>
        <v>34.000000000000171</v>
      </c>
      <c r="AD492" s="323">
        <f t="shared" ca="1" si="229"/>
        <v>726.1949872346496</v>
      </c>
      <c r="AE492" s="324" t="e">
        <f t="shared" ca="1" si="208"/>
        <v>#N/A</v>
      </c>
      <c r="AG492" s="306">
        <f t="shared" ca="1" si="230"/>
        <v>1.1291521393951456</v>
      </c>
      <c r="AH492" s="304">
        <f t="shared" ca="1" si="231"/>
        <v>-8.651318334979754</v>
      </c>
    </row>
    <row r="493" spans="1:34" x14ac:dyDescent="0.2">
      <c r="A493" s="347">
        <f t="shared" ca="1" si="209"/>
        <v>0.1</v>
      </c>
      <c r="B493" s="304">
        <f t="shared" ca="1" si="210"/>
        <v>34.100000000000172</v>
      </c>
      <c r="D493" s="306">
        <f t="shared" ca="1" si="211"/>
        <v>-0.66652756378325018</v>
      </c>
      <c r="E493" s="307">
        <f t="shared" ca="1" si="212"/>
        <v>-1.1564005963443389</v>
      </c>
      <c r="F493" s="304">
        <f t="shared" ca="1" si="213"/>
        <v>1.3347364281042071</v>
      </c>
      <c r="G493" s="306">
        <f t="shared" ca="1" si="214"/>
        <v>7.8412980192548414</v>
      </c>
      <c r="H493" s="307">
        <f t="shared" ca="1" si="215"/>
        <v>-102.78541972745786</v>
      </c>
      <c r="I493" s="304">
        <f t="shared" ca="1" si="216"/>
        <v>103.08408443196484</v>
      </c>
      <c r="J493" s="306">
        <f t="shared" ca="1" si="217"/>
        <v>726.98244967439405</v>
      </c>
      <c r="K493" s="307">
        <f t="shared" ca="1" si="218"/>
        <v>272.18105813309217</v>
      </c>
      <c r="L493" s="304">
        <f t="shared" ca="1" si="203"/>
        <v>776.26413709576491</v>
      </c>
      <c r="M493" s="306">
        <f t="shared" ca="1" si="219"/>
        <v>-1.4946557693718849</v>
      </c>
      <c r="N493" s="304">
        <f t="shared" ca="1" si="220"/>
        <v>-85.637467409887947</v>
      </c>
      <c r="P493" s="310">
        <f t="shared" ca="1" si="221"/>
        <v>23</v>
      </c>
      <c r="Q493" s="304">
        <f t="shared" ca="1" si="222"/>
        <v>0</v>
      </c>
      <c r="R493" s="306">
        <f t="shared" ca="1" si="223"/>
        <v>0</v>
      </c>
      <c r="S493" s="307">
        <f t="shared" ca="1" si="224"/>
        <v>2.9792999999999985</v>
      </c>
      <c r="T493" s="304">
        <f t="shared" ca="1" si="204"/>
        <v>29.226932999999988</v>
      </c>
      <c r="U493" s="311">
        <f t="shared" ca="1" si="205"/>
        <v>0</v>
      </c>
      <c r="V493" s="306">
        <f t="shared" ca="1" si="206"/>
        <v>1.1921054835928202</v>
      </c>
      <c r="W493" s="304">
        <f t="shared" ca="1" si="207"/>
        <v>25.940048938406967</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1.1017991221170327</v>
      </c>
      <c r="AH493" s="304">
        <f t="shared" ca="1" si="231"/>
        <v>-8.6792304746580182</v>
      </c>
    </row>
    <row r="494" spans="1:34" x14ac:dyDescent="0.2">
      <c r="A494" s="347">
        <f t="shared" ca="1" si="209"/>
        <v>0.1</v>
      </c>
      <c r="B494" s="304">
        <f t="shared" ca="1" si="210"/>
        <v>34.200000000000173</v>
      </c>
      <c r="D494" s="306">
        <f t="shared" ca="1" si="211"/>
        <v>-0.66229716590422039</v>
      </c>
      <c r="E494" s="307">
        <f t="shared" ca="1" si="212"/>
        <v>-1.1284664051016087</v>
      </c>
      <c r="F494" s="304">
        <f t="shared" ca="1" si="213"/>
        <v>1.3084624424903109</v>
      </c>
      <c r="G494" s="306">
        <f t="shared" ca="1" si="214"/>
        <v>7.775068302664419</v>
      </c>
      <c r="H494" s="307">
        <f t="shared" ca="1" si="215"/>
        <v>-102.89826636796802</v>
      </c>
      <c r="I494" s="304">
        <f t="shared" ca="1" si="216"/>
        <v>103.19159320722011</v>
      </c>
      <c r="J494" s="306">
        <f t="shared" ca="1" si="217"/>
        <v>727.76326799049002</v>
      </c>
      <c r="K494" s="307">
        <f t="shared" ca="1" si="218"/>
        <v>261.89687382832085</v>
      </c>
      <c r="L494" s="304">
        <f t="shared" ca="1" si="203"/>
        <v>773.45287300342045</v>
      </c>
      <c r="M494" s="306">
        <f t="shared" ca="1" si="219"/>
        <v>-1.4953789071818913</v>
      </c>
      <c r="N494" s="304">
        <f t="shared" ca="1" si="220"/>
        <v>-85.678900154407643</v>
      </c>
      <c r="P494" s="310">
        <f t="shared" ca="1" si="221"/>
        <v>23</v>
      </c>
      <c r="Q494" s="304">
        <f t="shared" ca="1" si="222"/>
        <v>0</v>
      </c>
      <c r="R494" s="306">
        <f t="shared" ca="1" si="223"/>
        <v>0</v>
      </c>
      <c r="S494" s="307">
        <f t="shared" ca="1" si="224"/>
        <v>2.9792999999999985</v>
      </c>
      <c r="T494" s="304">
        <f t="shared" ca="1" si="204"/>
        <v>29.226932999999988</v>
      </c>
      <c r="U494" s="311">
        <f t="shared" ca="1" si="205"/>
        <v>0</v>
      </c>
      <c r="V494" s="306">
        <f t="shared" ca="1" si="206"/>
        <v>1.1933323163238392</v>
      </c>
      <c r="W494" s="304">
        <f t="shared" ca="1" si="207"/>
        <v>26.020935527973116</v>
      </c>
      <c r="Y494" s="314" t="str">
        <f t="shared" ca="1" si="225"/>
        <v/>
      </c>
      <c r="Z494" s="315" t="str">
        <f t="shared" ca="1" si="226"/>
        <v/>
      </c>
      <c r="AA494" s="316" t="str">
        <f t="shared" ca="1" si="227"/>
        <v/>
      </c>
      <c r="AC494" s="310" t="e">
        <f t="shared" ca="1" si="228"/>
        <v>#N/A</v>
      </c>
      <c r="AD494" s="323" t="e">
        <f t="shared" ca="1" si="229"/>
        <v>#N/A</v>
      </c>
      <c r="AE494" s="324" t="e">
        <f t="shared" ca="1" si="208"/>
        <v>#N/A</v>
      </c>
      <c r="AG494" s="306">
        <f t="shared" ca="1" si="230"/>
        <v>1.0748179435465328</v>
      </c>
      <c r="AH494" s="304">
        <f t="shared" ca="1" si="231"/>
        <v>-8.7067596208528784</v>
      </c>
    </row>
    <row r="495" spans="1:34" x14ac:dyDescent="0.2">
      <c r="A495" s="347">
        <f t="shared" ca="1" si="209"/>
        <v>0.1</v>
      </c>
      <c r="B495" s="304">
        <f t="shared" ca="1" si="210"/>
        <v>34.300000000000175</v>
      </c>
      <c r="D495" s="306">
        <f t="shared" ca="1" si="211"/>
        <v>-0.65806465500836986</v>
      </c>
      <c r="E495" s="307">
        <f t="shared" ca="1" si="212"/>
        <v>-1.1009173884438184</v>
      </c>
      <c r="F495" s="304">
        <f t="shared" ca="1" si="213"/>
        <v>1.2826021153690814</v>
      </c>
      <c r="G495" s="306">
        <f t="shared" ca="1" si="214"/>
        <v>7.7092618371635817</v>
      </c>
      <c r="H495" s="307">
        <f t="shared" ca="1" si="215"/>
        <v>-103.00835810681241</v>
      </c>
      <c r="I495" s="304">
        <f t="shared" ca="1" si="216"/>
        <v>103.29644019972447</v>
      </c>
      <c r="J495" s="306">
        <f t="shared" ca="1" si="217"/>
        <v>728.53748449748139</v>
      </c>
      <c r="K495" s="307">
        <f t="shared" ca="1" si="218"/>
        <v>251.60154260458182</v>
      </c>
      <c r="L495" s="304">
        <f t="shared" ca="1" si="203"/>
        <v>770.75949722265716</v>
      </c>
      <c r="M495" s="306">
        <f t="shared" ca="1" si="219"/>
        <v>-1.4960944631107973</v>
      </c>
      <c r="N495" s="304">
        <f t="shared" ca="1" si="220"/>
        <v>-85.719898489139524</v>
      </c>
      <c r="P495" s="310">
        <f t="shared" ca="1" si="221"/>
        <v>23</v>
      </c>
      <c r="Q495" s="304">
        <f t="shared" ca="1" si="222"/>
        <v>0</v>
      </c>
      <c r="R495" s="306">
        <f t="shared" ca="1" si="223"/>
        <v>0</v>
      </c>
      <c r="S495" s="307">
        <f t="shared" ca="1" si="224"/>
        <v>2.9792999999999985</v>
      </c>
      <c r="T495" s="304">
        <f t="shared" ca="1" si="204"/>
        <v>29.226932999999988</v>
      </c>
      <c r="U495" s="311">
        <f t="shared" ca="1" si="205"/>
        <v>0</v>
      </c>
      <c r="V495" s="306">
        <f t="shared" ca="1" si="206"/>
        <v>1.1945617268548163</v>
      </c>
      <c r="W495" s="304">
        <f t="shared" ca="1" si="207"/>
        <v>26.100701250927806</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1.0482054756897803</v>
      </c>
      <c r="AH495" s="304">
        <f t="shared" ca="1" si="231"/>
        <v>-8.7339091491199703</v>
      </c>
    </row>
    <row r="496" spans="1:34" x14ac:dyDescent="0.2">
      <c r="A496" s="347">
        <f t="shared" ca="1" si="209"/>
        <v>0.1</v>
      </c>
      <c r="B496" s="304">
        <f t="shared" ca="1" si="210"/>
        <v>34.400000000000176</v>
      </c>
      <c r="D496" s="306">
        <f t="shared" ca="1" si="211"/>
        <v>-0.65383080791783821</v>
      </c>
      <c r="E496" s="307">
        <f t="shared" ca="1" si="212"/>
        <v>-1.0737500936085933</v>
      </c>
      <c r="F496" s="304">
        <f t="shared" ca="1" si="213"/>
        <v>1.257153128662915</v>
      </c>
      <c r="G496" s="306">
        <f t="shared" ca="1" si="214"/>
        <v>7.643878756371798</v>
      </c>
      <c r="H496" s="307">
        <f t="shared" ca="1" si="215"/>
        <v>-103.11573311617327</v>
      </c>
      <c r="I496" s="304">
        <f t="shared" ca="1" si="216"/>
        <v>103.3986619764878</v>
      </c>
      <c r="J496" s="306">
        <f t="shared" ca="1" si="217"/>
        <v>729.30514152715818</v>
      </c>
      <c r="K496" s="307">
        <f t="shared" ca="1" si="218"/>
        <v>241.29533804343254</v>
      </c>
      <c r="L496" s="304">
        <f t="shared" ca="1" si="203"/>
        <v>768.18580409914023</v>
      </c>
      <c r="M496" s="306">
        <f t="shared" ca="1" si="219"/>
        <v>-1.496802541868838</v>
      </c>
      <c r="N496" s="304">
        <f t="shared" ca="1" si="220"/>
        <v>-85.760468413538106</v>
      </c>
      <c r="P496" s="310">
        <f t="shared" ca="1" si="221"/>
        <v>23</v>
      </c>
      <c r="Q496" s="304">
        <f t="shared" ca="1" si="222"/>
        <v>0</v>
      </c>
      <c r="R496" s="306">
        <f t="shared" ca="1" si="223"/>
        <v>0</v>
      </c>
      <c r="S496" s="307">
        <f t="shared" ca="1" si="224"/>
        <v>2.9792999999999985</v>
      </c>
      <c r="T496" s="304">
        <f t="shared" ca="1" si="204"/>
        <v>29.226932999999988</v>
      </c>
      <c r="U496" s="311">
        <f t="shared" ca="1" si="205"/>
        <v>0</v>
      </c>
      <c r="V496" s="306">
        <f t="shared" ca="1" si="206"/>
        <v>1.1957936884308338</v>
      </c>
      <c r="W496" s="304">
        <f t="shared" ca="1" si="207"/>
        <v>26.179356302195941</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1.0219585598507024</v>
      </c>
      <c r="AH496" s="304">
        <f t="shared" ca="1" si="231"/>
        <v>-8.7606824592782928</v>
      </c>
    </row>
    <row r="497" spans="1:34" x14ac:dyDescent="0.2">
      <c r="A497" s="347">
        <f t="shared" ca="1" si="209"/>
        <v>0.1</v>
      </c>
      <c r="B497" s="304">
        <f t="shared" ca="1" si="210"/>
        <v>34.500000000000178</v>
      </c>
      <c r="D497" s="306">
        <f t="shared" ca="1" si="211"/>
        <v>-0.64959638341311898</v>
      </c>
      <c r="E497" s="307">
        <f t="shared" ca="1" si="212"/>
        <v>-1.046961045539577</v>
      </c>
      <c r="F497" s="304">
        <f t="shared" ca="1" si="213"/>
        <v>1.232113181579001</v>
      </c>
      <c r="G497" s="306">
        <f t="shared" ca="1" si="214"/>
        <v>7.5789191180304858</v>
      </c>
      <c r="H497" s="307">
        <f t="shared" ca="1" si="215"/>
        <v>-103.22042922072723</v>
      </c>
      <c r="I497" s="304">
        <f t="shared" ca="1" si="216"/>
        <v>103.49829478551233</v>
      </c>
      <c r="J497" s="306">
        <f t="shared" ca="1" si="217"/>
        <v>730.06628142087834</v>
      </c>
      <c r="K497" s="307">
        <f t="shared" ca="1" si="218"/>
        <v>230.9785299265875</v>
      </c>
      <c r="L497" s="304">
        <f t="shared" ca="1" si="203"/>
        <v>765.73354148473652</v>
      </c>
      <c r="M497" s="306">
        <f t="shared" ca="1" si="219"/>
        <v>-1.4975032460668718</v>
      </c>
      <c r="N497" s="304">
        <f t="shared" ca="1" si="220"/>
        <v>-85.800615806772555</v>
      </c>
      <c r="P497" s="310">
        <f t="shared" ca="1" si="221"/>
        <v>23</v>
      </c>
      <c r="Q497" s="304">
        <f t="shared" ca="1" si="222"/>
        <v>0</v>
      </c>
      <c r="R497" s="306">
        <f t="shared" ca="1" si="223"/>
        <v>0</v>
      </c>
      <c r="S497" s="307">
        <f t="shared" ca="1" si="224"/>
        <v>2.9792999999999985</v>
      </c>
      <c r="T497" s="304">
        <f t="shared" ca="1" si="204"/>
        <v>29.226932999999988</v>
      </c>
      <c r="U497" s="311">
        <f t="shared" ca="1" si="205"/>
        <v>0</v>
      </c>
      <c r="V497" s="306">
        <f t="shared" ca="1" si="206"/>
        <v>1.1970281746390552</v>
      </c>
      <c r="W497" s="304">
        <f t="shared" ca="1" si="207"/>
        <v>26.256910936284033</v>
      </c>
      <c r="Y497" s="314" t="str">
        <f t="shared" ca="1" si="225"/>
        <v/>
      </c>
      <c r="Z497" s="315" t="str">
        <f t="shared" ca="1" si="226"/>
        <v/>
      </c>
      <c r="AA497" s="316" t="str">
        <f t="shared" ca="1" si="227"/>
        <v/>
      </c>
      <c r="AC497" s="310" t="e">
        <f t="shared" ca="1" si="228"/>
        <v>#N/A</v>
      </c>
      <c r="AD497" s="323" t="e">
        <f t="shared" ca="1" si="229"/>
        <v>#N/A</v>
      </c>
      <c r="AE497" s="324" t="e">
        <f t="shared" ca="1" si="208"/>
        <v>#N/A</v>
      </c>
      <c r="AG497" s="306">
        <f t="shared" ca="1" si="230"/>
        <v>0.99607400899366816</v>
      </c>
      <c r="AH497" s="304">
        <f t="shared" ca="1" si="231"/>
        <v>-8.7870829732473918</v>
      </c>
    </row>
    <row r="498" spans="1:34" x14ac:dyDescent="0.2">
      <c r="A498" s="347">
        <f t="shared" ca="1" si="209"/>
        <v>0.1</v>
      </c>
      <c r="B498" s="304">
        <f t="shared" ca="1" si="210"/>
        <v>34.600000000000179</v>
      </c>
      <c r="D498" s="306">
        <f t="shared" ca="1" si="211"/>
        <v>-0.64536212243869551</v>
      </c>
      <c r="E498" s="307">
        <f t="shared" ca="1" si="212"/>
        <v>-1.0205467490154838</v>
      </c>
      <c r="F498" s="304">
        <f t="shared" ca="1" si="213"/>
        <v>1.2074799940390941</v>
      </c>
      <c r="G498" s="306">
        <f t="shared" ca="1" si="214"/>
        <v>7.5143829057866158</v>
      </c>
      <c r="H498" s="307">
        <f t="shared" ca="1" si="215"/>
        <v>-103.32248389562878</v>
      </c>
      <c r="I498" s="304">
        <f t="shared" ca="1" si="216"/>
        <v>103.59537455319733</v>
      </c>
      <c r="J498" s="306">
        <f t="shared" ca="1" si="217"/>
        <v>730.82094652206922</v>
      </c>
      <c r="K498" s="307">
        <f t="shared" ca="1" si="218"/>
        <v>220.65138427076971</v>
      </c>
      <c r="L498" s="304">
        <f t="shared" ca="1" si="203"/>
        <v>763.40440741196937</v>
      </c>
      <c r="M498" s="306">
        <f t="shared" ca="1" si="219"/>
        <v>-1.4981966762717782</v>
      </c>
      <c r="N498" s="304">
        <f t="shared" ca="1" si="220"/>
        <v>-85.840346430900581</v>
      </c>
      <c r="P498" s="310">
        <f t="shared" ca="1" si="221"/>
        <v>23</v>
      </c>
      <c r="Q498" s="304">
        <f t="shared" ca="1" si="222"/>
        <v>0</v>
      </c>
      <c r="R498" s="306">
        <f t="shared" ca="1" si="223"/>
        <v>0</v>
      </c>
      <c r="S498" s="307">
        <f t="shared" ca="1" si="224"/>
        <v>2.9792999999999985</v>
      </c>
      <c r="T498" s="304">
        <f t="shared" ca="1" si="204"/>
        <v>29.226932999999988</v>
      </c>
      <c r="U498" s="311">
        <f t="shared" ca="1" si="205"/>
        <v>0</v>
      </c>
      <c r="V498" s="306">
        <f t="shared" ca="1" si="206"/>
        <v>1.198265159406096</v>
      </c>
      <c r="W498" s="304">
        <f t="shared" ca="1" si="207"/>
        <v>26.333375461196045</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0.97054861003810089</v>
      </c>
      <c r="AH498" s="304">
        <f t="shared" ca="1" si="231"/>
        <v>-8.8131141329453389</v>
      </c>
    </row>
    <row r="499" spans="1:34" x14ac:dyDescent="0.2">
      <c r="A499" s="347">
        <f t="shared" ca="1" si="209"/>
        <v>0.1</v>
      </c>
      <c r="B499" s="304">
        <f t="shared" ca="1" si="210"/>
        <v>34.70000000000018</v>
      </c>
      <c r="D499" s="306">
        <f t="shared" ca="1" si="211"/>
        <v>-0.6411287483119894</v>
      </c>
      <c r="E499" s="307">
        <f t="shared" ca="1" si="212"/>
        <v>-0.99450369071847433</v>
      </c>
      <c r="F499" s="304">
        <f t="shared" ca="1" si="213"/>
        <v>1.1832513100625601</v>
      </c>
      <c r="G499" s="306">
        <f t="shared" ca="1" si="214"/>
        <v>7.4502700309554166</v>
      </c>
      <c r="H499" s="307">
        <f t="shared" ca="1" si="215"/>
        <v>-103.42193426470062</v>
      </c>
      <c r="I499" s="304">
        <f t="shared" ca="1" si="216"/>
        <v>103.68993688196656</v>
      </c>
      <c r="J499" s="306">
        <f t="shared" ca="1" si="217"/>
        <v>731.56917916890632</v>
      </c>
      <c r="K499" s="307">
        <f t="shared" ca="1" si="218"/>
        <v>210.31416336275325</v>
      </c>
      <c r="L499" s="304">
        <f t="shared" ca="1" si="203"/>
        <v>761.2000467819496</v>
      </c>
      <c r="M499" s="306">
        <f t="shared" ca="1" si="219"/>
        <v>-1.4988829310601315</v>
      </c>
      <c r="N499" s="304">
        <f t="shared" ca="1" si="220"/>
        <v>-85.879665933943869</v>
      </c>
      <c r="P499" s="310">
        <f t="shared" ca="1" si="221"/>
        <v>23</v>
      </c>
      <c r="Q499" s="304">
        <f t="shared" ca="1" si="222"/>
        <v>0</v>
      </c>
      <c r="R499" s="306">
        <f t="shared" ca="1" si="223"/>
        <v>0</v>
      </c>
      <c r="S499" s="307">
        <f t="shared" ca="1" si="224"/>
        <v>2.9792999999999985</v>
      </c>
      <c r="T499" s="304">
        <f t="shared" ca="1" si="204"/>
        <v>29.226932999999988</v>
      </c>
      <c r="U499" s="311">
        <f t="shared" ca="1" si="205"/>
        <v>0</v>
      </c>
      <c r="V499" s="306">
        <f t="shared" ca="1" si="206"/>
        <v>1.1995046169953743</v>
      </c>
      <c r="W499" s="304">
        <f t="shared" ca="1" si="207"/>
        <v>26.408760232526067</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0.94537912608624453</v>
      </c>
      <c r="AH499" s="304">
        <f t="shared" ca="1" si="231"/>
        <v>-8.8387793982465883</v>
      </c>
    </row>
    <row r="500" spans="1:34" x14ac:dyDescent="0.2">
      <c r="A500" s="347">
        <f t="shared" ca="1" si="209"/>
        <v>0.1</v>
      </c>
      <c r="B500" s="304">
        <f t="shared" ca="1" si="210"/>
        <v>34.800000000000182</v>
      </c>
      <c r="D500" s="306">
        <f t="shared" ca="1" si="211"/>
        <v>-0.63689696693534026</v>
      </c>
      <c r="E500" s="307">
        <f t="shared" ca="1" si="212"/>
        <v>-0.96882834124241235</v>
      </c>
      <c r="F500" s="304">
        <f t="shared" ca="1" si="213"/>
        <v>1.1594249010979367</v>
      </c>
      <c r="G500" s="306">
        <f t="shared" ca="1" si="214"/>
        <v>7.3865803342618825</v>
      </c>
      <c r="H500" s="307">
        <f t="shared" ca="1" si="215"/>
        <v>-103.51881709882487</v>
      </c>
      <c r="I500" s="304">
        <f t="shared" ca="1" si="216"/>
        <v>103.78201704811127</v>
      </c>
      <c r="J500" s="306">
        <f t="shared" ca="1" si="217"/>
        <v>732.31102168716723</v>
      </c>
      <c r="K500" s="307">
        <f t="shared" ca="1" si="218"/>
        <v>199.96712579457699</v>
      </c>
      <c r="L500" s="304">
        <f t="shared" ca="1" si="203"/>
        <v>759.12204808123363</v>
      </c>
      <c r="M500" s="306">
        <f t="shared" ca="1" si="219"/>
        <v>-1.4995621070702065</v>
      </c>
      <c r="N500" s="304">
        <f t="shared" ca="1" si="220"/>
        <v>-85.918579852867694</v>
      </c>
      <c r="P500" s="310">
        <f t="shared" ca="1" si="221"/>
        <v>23</v>
      </c>
      <c r="Q500" s="304">
        <f t="shared" ca="1" si="222"/>
        <v>0</v>
      </c>
      <c r="R500" s="306">
        <f t="shared" ca="1" si="223"/>
        <v>0</v>
      </c>
      <c r="S500" s="307">
        <f t="shared" ca="1" si="224"/>
        <v>2.9792999999999985</v>
      </c>
      <c r="T500" s="304">
        <f t="shared" ca="1" si="204"/>
        <v>29.226932999999988</v>
      </c>
      <c r="U500" s="311">
        <f t="shared" ca="1" si="205"/>
        <v>0</v>
      </c>
      <c r="V500" s="306">
        <f t="shared" ca="1" si="206"/>
        <v>1.2007465220044291</v>
      </c>
      <c r="W500" s="304">
        <f t="shared" ca="1" si="207"/>
        <v>26.483075647724675</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0.92056229858490823</v>
      </c>
      <c r="AH500" s="304">
        <f t="shared" ca="1" si="231"/>
        <v>-8.864082244999187</v>
      </c>
    </row>
    <row r="501" spans="1:34" x14ac:dyDescent="0.2">
      <c r="A501" s="347">
        <f t="shared" ca="1" si="209"/>
        <v>0.1</v>
      </c>
      <c r="B501" s="304">
        <f t="shared" ca="1" si="210"/>
        <v>34.900000000000183</v>
      </c>
      <c r="D501" s="306">
        <f t="shared" ca="1" si="211"/>
        <v>-0.6326674670107596</v>
      </c>
      <c r="E501" s="307">
        <f t="shared" ca="1" si="212"/>
        <v>-0.94351715704205397</v>
      </c>
      <c r="F501" s="304">
        <f t="shared" ca="1" si="213"/>
        <v>1.1359985692977481</v>
      </c>
      <c r="G501" s="306">
        <f t="shared" ca="1" si="214"/>
        <v>7.3233135875608069</v>
      </c>
      <c r="H501" s="307">
        <f t="shared" ca="1" si="215"/>
        <v>-103.61316881452908</v>
      </c>
      <c r="I501" s="304">
        <f t="shared" ca="1" si="216"/>
        <v>103.87164999984286</v>
      </c>
      <c r="J501" s="306">
        <f t="shared" ca="1" si="217"/>
        <v>733.04651638325834</v>
      </c>
      <c r="K501" s="307">
        <f t="shared" ca="1" si="218"/>
        <v>189.61052649890928</v>
      </c>
      <c r="L501" s="304">
        <f t="shared" ca="1" si="203"/>
        <v>757.17194014360064</v>
      </c>
      <c r="M501" s="306">
        <f t="shared" ca="1" si="219"/>
        <v>-1.5002342990523838</v>
      </c>
      <c r="N501" s="304">
        <f t="shared" ca="1" si="220"/>
        <v>-85.957093616468995</v>
      </c>
      <c r="P501" s="310">
        <f t="shared" ca="1" si="221"/>
        <v>23</v>
      </c>
      <c r="Q501" s="304">
        <f t="shared" ca="1" si="222"/>
        <v>0</v>
      </c>
      <c r="R501" s="306">
        <f t="shared" ca="1" si="223"/>
        <v>0</v>
      </c>
      <c r="S501" s="307">
        <f t="shared" ca="1" si="224"/>
        <v>2.9792999999999985</v>
      </c>
      <c r="T501" s="304">
        <f t="shared" ca="1" si="204"/>
        <v>29.226932999999988</v>
      </c>
      <c r="U501" s="311">
        <f t="shared" ca="1" si="205"/>
        <v>0</v>
      </c>
      <c r="V501" s="306">
        <f t="shared" ca="1" si="206"/>
        <v>1.2019908493622198</v>
      </c>
      <c r="W501" s="304">
        <f t="shared" ca="1" si="207"/>
        <v>26.556332140537258</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0.89609484942250184</v>
      </c>
      <c r="AH501" s="304">
        <f t="shared" ca="1" si="231"/>
        <v>-8.8890261631002883</v>
      </c>
    </row>
    <row r="502" spans="1:34" x14ac:dyDescent="0.2">
      <c r="A502" s="347">
        <f t="shared" ca="1" si="209"/>
        <v>0.1</v>
      </c>
      <c r="B502" s="304">
        <f t="shared" ca="1" si="210"/>
        <v>35.000000000000185</v>
      </c>
      <c r="D502" s="306">
        <f t="shared" ca="1" si="211"/>
        <v>-0.62844092025713527</v>
      </c>
      <c r="E502" s="307">
        <f t="shared" ca="1" si="212"/>
        <v>-0.91856658232376098</v>
      </c>
      <c r="F502" s="304">
        <f t="shared" ca="1" si="213"/>
        <v>1.1129701507298342</v>
      </c>
      <c r="G502" s="306">
        <f t="shared" ca="1" si="214"/>
        <v>7.2604694955350935</v>
      </c>
      <c r="H502" s="307">
        <f t="shared" ca="1" si="215"/>
        <v>-103.70502547276145</v>
      </c>
      <c r="I502" s="304">
        <f t="shared" ca="1" si="216"/>
        <v>103.95887035554829</v>
      </c>
      <c r="J502" s="306">
        <f t="shared" ca="1" si="217"/>
        <v>733.77570553741316</v>
      </c>
      <c r="K502" s="307">
        <f t="shared" ca="1" si="218"/>
        <v>179.24461678454475</v>
      </c>
      <c r="L502" s="304">
        <f t="shared" ca="1" si="203"/>
        <v>755.35118897316022</v>
      </c>
      <c r="M502" s="306">
        <f t="shared" ca="1" si="219"/>
        <v>-1.5008995999180001</v>
      </c>
      <c r="N502" s="304">
        <f t="shared" ca="1" si="220"/>
        <v>-85.995212548175203</v>
      </c>
      <c r="P502" s="310">
        <f t="shared" ca="1" si="221"/>
        <v>23</v>
      </c>
      <c r="Q502" s="304">
        <f t="shared" ca="1" si="222"/>
        <v>0</v>
      </c>
      <c r="R502" s="306">
        <f t="shared" ca="1" si="223"/>
        <v>0</v>
      </c>
      <c r="S502" s="307">
        <f t="shared" ca="1" si="224"/>
        <v>2.9792999999999985</v>
      </c>
      <c r="T502" s="304">
        <f t="shared" ca="1" si="204"/>
        <v>29.226932999999988</v>
      </c>
      <c r="U502" s="311">
        <f t="shared" ca="1" si="205"/>
        <v>0</v>
      </c>
      <c r="V502" s="306">
        <f t="shared" ca="1" si="206"/>
        <v>1.2032375743264017</v>
      </c>
      <c r="W502" s="304">
        <f t="shared" ca="1" si="207"/>
        <v>26.628540175611288</v>
      </c>
      <c r="Y502" s="314" t="str">
        <f t="shared" ca="1" si="225"/>
        <v/>
      </c>
      <c r="Z502" s="315" t="str">
        <f t="shared" ca="1" si="226"/>
        <v/>
      </c>
      <c r="AA502" s="316" t="str">
        <f t="shared" ca="1" si="227"/>
        <v/>
      </c>
      <c r="AC502" s="310">
        <f t="shared" ca="1" si="228"/>
        <v>35.000000000000185</v>
      </c>
      <c r="AD502" s="323">
        <f t="shared" ca="1" si="229"/>
        <v>733.77570553741316</v>
      </c>
      <c r="AE502" s="324" t="e">
        <f t="shared" ca="1" si="208"/>
        <v>#N/A</v>
      </c>
      <c r="AG502" s="306">
        <f t="shared" ca="1" si="230"/>
        <v>0.87197348296224853</v>
      </c>
      <c r="AH502" s="304">
        <f t="shared" ca="1" si="231"/>
        <v>-8.9136146546293666</v>
      </c>
    </row>
    <row r="503" spans="1:34" x14ac:dyDescent="0.2">
      <c r="A503" s="347">
        <f t="shared" ca="1" si="209"/>
        <v>0.1</v>
      </c>
      <c r="B503" s="304">
        <f t="shared" ca="1" si="210"/>
        <v>35.100000000000186</v>
      </c>
      <c r="D503" s="306">
        <f t="shared" ca="1" si="211"/>
        <v>-0.62421798162969799</v>
      </c>
      <c r="E503" s="307">
        <f t="shared" ca="1" si="212"/>
        <v>-0.893973050878758</v>
      </c>
      <c r="F503" s="304">
        <f t="shared" ca="1" si="213"/>
        <v>1.0903375185176967</v>
      </c>
      <c r="G503" s="306">
        <f t="shared" ca="1" si="214"/>
        <v>7.1980476973721235</v>
      </c>
      <c r="H503" s="307">
        <f t="shared" ca="1" si="215"/>
        <v>-103.79442277784932</v>
      </c>
      <c r="I503" s="304">
        <f t="shared" ca="1" si="216"/>
        <v>104.04371240224259</v>
      </c>
      <c r="J503" s="306">
        <f t="shared" ca="1" si="217"/>
        <v>734.49863139705849</v>
      </c>
      <c r="K503" s="307">
        <f t="shared" ca="1" si="218"/>
        <v>168.86964437201419</v>
      </c>
      <c r="L503" s="304">
        <f t="shared" ca="1" si="203"/>
        <v>753.66119464550025</v>
      </c>
      <c r="M503" s="306">
        <f t="shared" ca="1" si="219"/>
        <v>-1.5015581007867087</v>
      </c>
      <c r="N503" s="304">
        <f t="shared" ca="1" si="220"/>
        <v>-86.032941868757902</v>
      </c>
      <c r="P503" s="310">
        <f t="shared" ca="1" si="221"/>
        <v>23</v>
      </c>
      <c r="Q503" s="304">
        <f t="shared" ca="1" si="222"/>
        <v>0</v>
      </c>
      <c r="R503" s="306">
        <f t="shared" ca="1" si="223"/>
        <v>0</v>
      </c>
      <c r="S503" s="307">
        <f t="shared" ca="1" si="224"/>
        <v>2.9792999999999985</v>
      </c>
      <c r="T503" s="304">
        <f t="shared" ca="1" si="204"/>
        <v>29.226932999999988</v>
      </c>
      <c r="U503" s="311">
        <f t="shared" ca="1" si="205"/>
        <v>0</v>
      </c>
      <c r="V503" s="306">
        <f t="shared" ca="1" si="206"/>
        <v>1.2044866724805827</v>
      </c>
      <c r="W503" s="304">
        <f t="shared" ca="1" si="207"/>
        <v>26.69971024327053</v>
      </c>
      <c r="Y503" s="314" t="str">
        <f t="shared" ca="1" si="225"/>
        <v/>
      </c>
      <c r="Z503" s="315" t="str">
        <f t="shared" ca="1" si="226"/>
        <v/>
      </c>
      <c r="AA503" s="316" t="str">
        <f t="shared" ca="1" si="227"/>
        <v/>
      </c>
      <c r="AC503" s="310" t="e">
        <f t="shared" ca="1" si="228"/>
        <v>#N/A</v>
      </c>
      <c r="AD503" s="323" t="e">
        <f t="shared" ca="1" si="229"/>
        <v>#N/A</v>
      </c>
      <c r="AE503" s="324" t="e">
        <f t="shared" ca="1" si="208"/>
        <v>#N/A</v>
      </c>
      <c r="AG503" s="306">
        <f t="shared" ca="1" si="230"/>
        <v>0.84819488801275611</v>
      </c>
      <c r="AH503" s="304">
        <f t="shared" ca="1" si="231"/>
        <v>-8.9378512320381631</v>
      </c>
    </row>
    <row r="504" spans="1:34" x14ac:dyDescent="0.2">
      <c r="A504" s="347">
        <f t="shared" ca="1" si="209"/>
        <v>0.1</v>
      </c>
      <c r="B504" s="304">
        <f t="shared" ca="1" si="210"/>
        <v>35.200000000000188</v>
      </c>
      <c r="D504" s="306">
        <f t="shared" ca="1" si="211"/>
        <v>-0.61999928954142736</v>
      </c>
      <c r="E504" s="307">
        <f t="shared" ca="1" si="212"/>
        <v>-0.86973298785961717</v>
      </c>
      <c r="F504" s="304">
        <f t="shared" ca="1" si="213"/>
        <v>1.0680985859007079</v>
      </c>
      <c r="G504" s="306">
        <f t="shared" ca="1" si="214"/>
        <v>7.1360477684179804</v>
      </c>
      <c r="H504" s="307">
        <f t="shared" ca="1" si="215"/>
        <v>-103.88139607663528</v>
      </c>
      <c r="I504" s="304">
        <f t="shared" ca="1" si="216"/>
        <v>104.12621009421173</v>
      </c>
      <c r="J504" s="306">
        <f t="shared" ca="1" si="217"/>
        <v>735.215336170348</v>
      </c>
      <c r="K504" s="307">
        <f t="shared" ca="1" si="218"/>
        <v>158.48585342928996</v>
      </c>
      <c r="L504" s="304">
        <f t="shared" ca="1" si="203"/>
        <v>752.10328830373305</v>
      </c>
      <c r="M504" s="306">
        <f t="shared" ca="1" si="219"/>
        <v>-1.502209891032394</v>
      </c>
      <c r="N504" s="304">
        <f t="shared" ca="1" si="220"/>
        <v>-86.070286698963471</v>
      </c>
      <c r="P504" s="310">
        <f t="shared" ca="1" si="221"/>
        <v>23</v>
      </c>
      <c r="Q504" s="304">
        <f t="shared" ca="1" si="222"/>
        <v>0</v>
      </c>
      <c r="R504" s="306">
        <f t="shared" ca="1" si="223"/>
        <v>0</v>
      </c>
      <c r="S504" s="307">
        <f t="shared" ca="1" si="224"/>
        <v>2.9792999999999985</v>
      </c>
      <c r="T504" s="304">
        <f t="shared" ca="1" si="204"/>
        <v>29.226932999999988</v>
      </c>
      <c r="U504" s="311">
        <f t="shared" ca="1" si="205"/>
        <v>0</v>
      </c>
      <c r="V504" s="306">
        <f t="shared" ca="1" si="206"/>
        <v>1.2057381197315618</v>
      </c>
      <c r="W504" s="304">
        <f t="shared" ca="1" si="207"/>
        <v>26.769852854453106</v>
      </c>
      <c r="Y504" s="314" t="str">
        <f t="shared" ca="1" si="225"/>
        <v/>
      </c>
      <c r="Z504" s="315" t="str">
        <f t="shared" ca="1" si="226"/>
        <v/>
      </c>
      <c r="AA504" s="316" t="str">
        <f t="shared" ca="1" si="227"/>
        <v/>
      </c>
      <c r="AC504" s="310" t="e">
        <f t="shared" ca="1" si="228"/>
        <v>#N/A</v>
      </c>
      <c r="AD504" s="323" t="e">
        <f t="shared" ca="1" si="229"/>
        <v>#N/A</v>
      </c>
      <c r="AE504" s="324" t="e">
        <f t="shared" ca="1" si="208"/>
        <v>#N/A</v>
      </c>
      <c r="AG504" s="306">
        <f t="shared" ca="1" si="230"/>
        <v>0.82475573973692207</v>
      </c>
      <c r="AH504" s="304">
        <f t="shared" ca="1" si="231"/>
        <v>-8.9617394163966519</v>
      </c>
    </row>
    <row r="505" spans="1:34" x14ac:dyDescent="0.2">
      <c r="A505" s="347">
        <f t="shared" ca="1" si="209"/>
        <v>0.1</v>
      </c>
      <c r="B505" s="304">
        <f t="shared" ca="1" si="210"/>
        <v>35.300000000000189</v>
      </c>
      <c r="D505" s="306">
        <f t="shared" ca="1" si="211"/>
        <v>-0.6157854660862</v>
      </c>
      <c r="E505" s="307">
        <f t="shared" ca="1" si="212"/>
        <v>-0.84584281150104168</v>
      </c>
      <c r="F505" s="304">
        <f t="shared" ca="1" si="213"/>
        <v>1.0462513092039529</v>
      </c>
      <c r="G505" s="306">
        <f t="shared" ca="1" si="214"/>
        <v>7.0744692218093608</v>
      </c>
      <c r="H505" s="307">
        <f t="shared" ca="1" si="215"/>
        <v>-103.96598035778538</v>
      </c>
      <c r="I505" s="304">
        <f t="shared" ca="1" si="216"/>
        <v>104.20639705184009</v>
      </c>
      <c r="J505" s="306">
        <f t="shared" ca="1" si="217"/>
        <v>735.92586201985932</v>
      </c>
      <c r="K505" s="307">
        <f t="shared" ca="1" si="218"/>
        <v>148.09348460756894</v>
      </c>
      <c r="L505" s="304">
        <f t="shared" ca="1" si="203"/>
        <v>750.67872926631219</v>
      </c>
      <c r="M505" s="306">
        <f t="shared" ca="1" si="219"/>
        <v>-1.5028550583276932</v>
      </c>
      <c r="N505" s="304">
        <f t="shared" ca="1" si="220"/>
        <v>-86.107252062063978</v>
      </c>
      <c r="P505" s="310">
        <f t="shared" ca="1" si="221"/>
        <v>23</v>
      </c>
      <c r="Q505" s="304">
        <f t="shared" ca="1" si="222"/>
        <v>0</v>
      </c>
      <c r="R505" s="306">
        <f t="shared" ca="1" si="223"/>
        <v>0</v>
      </c>
      <c r="S505" s="307">
        <f t="shared" ca="1" si="224"/>
        <v>2.9792999999999985</v>
      </c>
      <c r="T505" s="304">
        <f t="shared" ca="1" si="204"/>
        <v>29.226932999999988</v>
      </c>
      <c r="U505" s="311">
        <f t="shared" ca="1" si="205"/>
        <v>0</v>
      </c>
      <c r="V505" s="306">
        <f t="shared" ca="1" si="206"/>
        <v>1.2069918923065486</v>
      </c>
      <c r="W505" s="304">
        <f t="shared" ca="1" si="207"/>
        <v>26.838978535811076</v>
      </c>
      <c r="Y505" s="314" t="str">
        <f t="shared" ca="1" si="225"/>
        <v/>
      </c>
      <c r="Z505" s="315" t="str">
        <f t="shared" ca="1" si="226"/>
        <v/>
      </c>
      <c r="AA505" s="316" t="str">
        <f t="shared" ca="1" si="227"/>
        <v/>
      </c>
      <c r="AC505" s="310" t="e">
        <f t="shared" ca="1" si="228"/>
        <v>#N/A</v>
      </c>
      <c r="AD505" s="323" t="e">
        <f t="shared" ca="1" si="229"/>
        <v>#N/A</v>
      </c>
      <c r="AE505" s="324" t="e">
        <f t="shared" ca="1" si="208"/>
        <v>#N/A</v>
      </c>
      <c r="AG505" s="306">
        <f t="shared" ca="1" si="230"/>
        <v>0.80165270150042645</v>
      </c>
      <c r="AH505" s="304">
        <f t="shared" ca="1" si="231"/>
        <v>-8.9852827356939944</v>
      </c>
    </row>
    <row r="506" spans="1:34" x14ac:dyDescent="0.2">
      <c r="A506" s="347">
        <f t="shared" ca="1" si="209"/>
        <v>0.1</v>
      </c>
      <c r="B506" s="304">
        <f t="shared" ca="1" si="210"/>
        <v>35.40000000000019</v>
      </c>
      <c r="D506" s="306">
        <f t="shared" ca="1" si="211"/>
        <v>-0.61157711726344133</v>
      </c>
      <c r="E506" s="307">
        <f t="shared" ca="1" si="212"/>
        <v>-0.82229893478567995</v>
      </c>
      <c r="F506" s="304">
        <f t="shared" ca="1" si="213"/>
        <v>1.024793690705561</v>
      </c>
      <c r="G506" s="306">
        <f t="shared" ca="1" si="214"/>
        <v>7.0133115100830166</v>
      </c>
      <c r="H506" s="307">
        <f t="shared" ca="1" si="215"/>
        <v>-104.04821025126395</v>
      </c>
      <c r="I506" s="304">
        <f t="shared" ca="1" si="216"/>
        <v>104.28430656061674</v>
      </c>
      <c r="J506" s="306">
        <f t="shared" ca="1" si="217"/>
        <v>736.63025105645397</v>
      </c>
      <c r="K506" s="307">
        <f t="shared" ca="1" si="218"/>
        <v>137.69277507711647</v>
      </c>
      <c r="L506" s="304">
        <f t="shared" ca="1" si="203"/>
        <v>749.38870226333927</v>
      </c>
      <c r="M506" s="306">
        <f t="shared" ca="1" si="219"/>
        <v>-1.5034936886871746</v>
      </c>
      <c r="N506" s="304">
        <f t="shared" ca="1" si="220"/>
        <v>-86.143842886331186</v>
      </c>
      <c r="P506" s="310">
        <f t="shared" ca="1" si="221"/>
        <v>23</v>
      </c>
      <c r="Q506" s="304">
        <f t="shared" ca="1" si="222"/>
        <v>0</v>
      </c>
      <c r="R506" s="306">
        <f t="shared" ca="1" si="223"/>
        <v>0</v>
      </c>
      <c r="S506" s="307">
        <f t="shared" ca="1" si="224"/>
        <v>2.9792999999999985</v>
      </c>
      <c r="T506" s="304">
        <f t="shared" ca="1" si="204"/>
        <v>29.226932999999988</v>
      </c>
      <c r="U506" s="311">
        <f t="shared" ca="1" si="205"/>
        <v>0</v>
      </c>
      <c r="V506" s="306">
        <f t="shared" ca="1" si="206"/>
        <v>1.2082479667503696</v>
      </c>
      <c r="W506" s="304">
        <f t="shared" ca="1" si="207"/>
        <v>26.907097824968911</v>
      </c>
      <c r="Y506" s="314" t="str">
        <f t="shared" ca="1" si="225"/>
        <v/>
      </c>
      <c r="Z506" s="315" t="str">
        <f t="shared" ca="1" si="226"/>
        <v/>
      </c>
      <c r="AA506" s="316" t="str">
        <f t="shared" ca="1" si="227"/>
        <v/>
      </c>
      <c r="AC506" s="310" t="e">
        <f t="shared" ca="1" si="228"/>
        <v>#N/A</v>
      </c>
      <c r="AD506" s="323" t="e">
        <f t="shared" ca="1" si="229"/>
        <v>#N/A</v>
      </c>
      <c r="AE506" s="324" t="e">
        <f t="shared" ca="1" si="208"/>
        <v>#N/A</v>
      </c>
      <c r="AG506" s="306">
        <f t="shared" ca="1" si="230"/>
        <v>0.77888242666077012</v>
      </c>
      <c r="AH506" s="304">
        <f t="shared" ca="1" si="231"/>
        <v>-9.0084847231937335</v>
      </c>
    </row>
    <row r="507" spans="1:34" x14ac:dyDescent="0.2">
      <c r="A507" s="347">
        <f t="shared" ca="1" si="209"/>
        <v>0.1</v>
      </c>
      <c r="B507" s="304">
        <f t="shared" ca="1" si="210"/>
        <v>35.500000000000192</v>
      </c>
      <c r="D507" s="306">
        <f t="shared" ca="1" si="211"/>
        <v>-0.6073748332040303</v>
      </c>
      <c r="E507" s="307">
        <f t="shared" ca="1" si="212"/>
        <v>-0.7990977670559527</v>
      </c>
      <c r="F507" s="304">
        <f t="shared" ca="1" si="213"/>
        <v>1.0037237813878046</v>
      </c>
      <c r="G507" s="306">
        <f t="shared" ca="1" si="214"/>
        <v>6.9525740267626137</v>
      </c>
      <c r="H507" s="307">
        <f t="shared" ca="1" si="215"/>
        <v>-104.12812002796954</v>
      </c>
      <c r="I507" s="304">
        <f t="shared" ca="1" si="216"/>
        <v>104.35997157031449</v>
      </c>
      <c r="J507" s="306">
        <f t="shared" ca="1" si="217"/>
        <v>737.32854533329623</v>
      </c>
      <c r="K507" s="307">
        <f t="shared" ca="1" si="218"/>
        <v>127.28395856315478</v>
      </c>
      <c r="L507" s="304">
        <f t="shared" ca="1" si="203"/>
        <v>748.23431481777254</v>
      </c>
      <c r="M507" s="306">
        <f t="shared" ca="1" si="219"/>
        <v>-1.5041258665092159</v>
      </c>
      <c r="N507" s="304">
        <f t="shared" ca="1" si="220"/>
        <v>-86.180064007435931</v>
      </c>
      <c r="P507" s="310">
        <f t="shared" ca="1" si="221"/>
        <v>23</v>
      </c>
      <c r="Q507" s="304">
        <f t="shared" ca="1" si="222"/>
        <v>0</v>
      </c>
      <c r="R507" s="306">
        <f t="shared" ca="1" si="223"/>
        <v>0</v>
      </c>
      <c r="S507" s="307">
        <f t="shared" ca="1" si="224"/>
        <v>2.9792999999999985</v>
      </c>
      <c r="T507" s="304">
        <f t="shared" ca="1" si="204"/>
        <v>29.226932999999988</v>
      </c>
      <c r="U507" s="311">
        <f t="shared" ca="1" si="205"/>
        <v>0</v>
      </c>
      <c r="V507" s="306">
        <f t="shared" ca="1" si="206"/>
        <v>1.2095063199226612</v>
      </c>
      <c r="W507" s="304">
        <f t="shared" ca="1" si="207"/>
        <v>26.974221265938063</v>
      </c>
      <c r="Y507" s="314" t="str">
        <f t="shared" ca="1" si="225"/>
        <v/>
      </c>
      <c r="Z507" s="315" t="str">
        <f t="shared" ca="1" si="226"/>
        <v/>
      </c>
      <c r="AA507" s="316" t="str">
        <f t="shared" ca="1" si="227"/>
        <v/>
      </c>
      <c r="AC507" s="310" t="e">
        <f t="shared" ca="1" si="228"/>
        <v>#N/A</v>
      </c>
      <c r="AD507" s="323" t="e">
        <f t="shared" ca="1" si="229"/>
        <v>#N/A</v>
      </c>
      <c r="AE507" s="324" t="e">
        <f t="shared" ca="1" si="208"/>
        <v>#N/A</v>
      </c>
      <c r="AG507" s="306">
        <f t="shared" ca="1" si="230"/>
        <v>0.75644156029800946</v>
      </c>
      <c r="AH507" s="304">
        <f t="shared" ca="1" si="231"/>
        <v>-9.0313489158422868</v>
      </c>
    </row>
    <row r="508" spans="1:34" x14ac:dyDescent="0.2">
      <c r="A508" s="347">
        <f t="shared" ca="1" si="209"/>
        <v>0.1</v>
      </c>
      <c r="B508" s="304">
        <f t="shared" ca="1" si="210"/>
        <v>35.600000000000193</v>
      </c>
      <c r="D508" s="306">
        <f t="shared" ca="1" si="211"/>
        <v>-0.60317918839727458</v>
      </c>
      <c r="E508" s="307">
        <f t="shared" ca="1" si="212"/>
        <v>-0.77623571557274929</v>
      </c>
      <c r="F508" s="304">
        <f t="shared" ca="1" si="213"/>
        <v>0.98303968355623006</v>
      </c>
      <c r="G508" s="306">
        <f t="shared" ca="1" si="214"/>
        <v>6.8922561079228863</v>
      </c>
      <c r="H508" s="307">
        <f t="shared" ca="1" si="215"/>
        <v>-104.20574359952681</v>
      </c>
      <c r="I508" s="304">
        <f t="shared" ca="1" si="216"/>
        <v>104.43342469433588</v>
      </c>
      <c r="J508" s="306">
        <f t="shared" ca="1" si="217"/>
        <v>738.0207868400305</v>
      </c>
      <c r="K508" s="307">
        <f t="shared" ca="1" si="218"/>
        <v>116.86726538177996</v>
      </c>
      <c r="L508" s="304">
        <f t="shared" ca="1" si="203"/>
        <v>747.21659478747733</v>
      </c>
      <c r="M508" s="306">
        <f t="shared" ca="1" si="219"/>
        <v>-1.5047516746166278</v>
      </c>
      <c r="N508" s="304">
        <f t="shared" ca="1" si="220"/>
        <v>-86.215920170775703</v>
      </c>
      <c r="P508" s="310">
        <f t="shared" ca="1" si="221"/>
        <v>23</v>
      </c>
      <c r="Q508" s="304">
        <f t="shared" ca="1" si="222"/>
        <v>0</v>
      </c>
      <c r="R508" s="306">
        <f t="shared" ca="1" si="223"/>
        <v>0</v>
      </c>
      <c r="S508" s="307">
        <f t="shared" ca="1" si="224"/>
        <v>2.9792999999999985</v>
      </c>
      <c r="T508" s="304">
        <f t="shared" ca="1" si="204"/>
        <v>29.226932999999988</v>
      </c>
      <c r="U508" s="311">
        <f t="shared" ca="1" si="205"/>
        <v>0</v>
      </c>
      <c r="V508" s="306">
        <f t="shared" ca="1" si="206"/>
        <v>1.2107669289950487</v>
      </c>
      <c r="W508" s="304">
        <f t="shared" ca="1" si="207"/>
        <v>27.040359404684846</v>
      </c>
      <c r="Y508" s="314" t="str">
        <f t="shared" ca="1" si="225"/>
        <v/>
      </c>
      <c r="Z508" s="315" t="str">
        <f t="shared" ca="1" si="226"/>
        <v/>
      </c>
      <c r="AA508" s="316" t="str">
        <f t="shared" ca="1" si="227"/>
        <v/>
      </c>
      <c r="AC508" s="310" t="e">
        <f t="shared" ca="1" si="228"/>
        <v>#N/A</v>
      </c>
      <c r="AD508" s="323" t="e">
        <f t="shared" ca="1" si="229"/>
        <v>#N/A</v>
      </c>
      <c r="AE508" s="324" t="e">
        <f t="shared" ca="1" si="208"/>
        <v>#N/A</v>
      </c>
      <c r="AG508" s="306">
        <f t="shared" ca="1" si="230"/>
        <v>0.73432674088827099</v>
      </c>
      <c r="AH508" s="304">
        <f t="shared" ca="1" si="231"/>
        <v>-9.053878852729861</v>
      </c>
    </row>
    <row r="509" spans="1:34" x14ac:dyDescent="0.2">
      <c r="A509" s="347">
        <f t="shared" ca="1" si="209"/>
        <v>0.1</v>
      </c>
      <c r="B509" s="304">
        <f t="shared" ca="1" si="210"/>
        <v>35.700000000000195</v>
      </c>
      <c r="D509" s="306">
        <f t="shared" ca="1" si="211"/>
        <v>-0.59899074191872936</v>
      </c>
      <c r="E509" s="307">
        <f t="shared" ca="1" si="212"/>
        <v>-0.75370918702201806</v>
      </c>
      <c r="F509" s="304">
        <f t="shared" ca="1" si="213"/>
        <v>0.96273955330906669</v>
      </c>
      <c r="G509" s="306">
        <f t="shared" ca="1" si="214"/>
        <v>6.8323570337310136</v>
      </c>
      <c r="H509" s="307">
        <f t="shared" ca="1" si="215"/>
        <v>-104.28111451822902</v>
      </c>
      <c r="I509" s="304">
        <f t="shared" ca="1" si="216"/>
        <v>104.50469820922105</v>
      </c>
      <c r="J509" s="306">
        <f t="shared" ca="1" si="217"/>
        <v>738.70701749711316</v>
      </c>
      <c r="K509" s="307">
        <f t="shared" ca="1" si="218"/>
        <v>106.44292247589216</v>
      </c>
      <c r="L509" s="304">
        <f t="shared" ca="1" si="203"/>
        <v>746.33648808341741</v>
      </c>
      <c r="M509" s="306">
        <f t="shared" ca="1" si="219"/>
        <v>-1.5053711942960677</v>
      </c>
      <c r="N509" s="304">
        <f t="shared" ca="1" si="220"/>
        <v>-86.251416033732909</v>
      </c>
      <c r="P509" s="310">
        <f t="shared" ca="1" si="221"/>
        <v>23</v>
      </c>
      <c r="Q509" s="304">
        <f t="shared" ca="1" si="222"/>
        <v>0</v>
      </c>
      <c r="R509" s="306">
        <f t="shared" ca="1" si="223"/>
        <v>0</v>
      </c>
      <c r="S509" s="307">
        <f t="shared" ca="1" si="224"/>
        <v>2.9792999999999985</v>
      </c>
      <c r="T509" s="304">
        <f t="shared" ca="1" si="204"/>
        <v>29.226932999999988</v>
      </c>
      <c r="U509" s="311">
        <f t="shared" ca="1" si="205"/>
        <v>0</v>
      </c>
      <c r="V509" s="306">
        <f t="shared" ca="1" si="206"/>
        <v>1.2120297714483144</v>
      </c>
      <c r="W509" s="304">
        <f t="shared" ca="1" si="207"/>
        <v>27.105522784849118</v>
      </c>
      <c r="Y509" s="314" t="str">
        <f t="shared" ca="1" si="225"/>
        <v/>
      </c>
      <c r="Z509" s="315" t="str">
        <f t="shared" ca="1" si="226"/>
        <v/>
      </c>
      <c r="AA509" s="316" t="str">
        <f t="shared" ca="1" si="227"/>
        <v/>
      </c>
      <c r="AC509" s="310" t="e">
        <f t="shared" ca="1" si="228"/>
        <v>#N/A</v>
      </c>
      <c r="AD509" s="323" t="e">
        <f t="shared" ca="1" si="229"/>
        <v>#N/A</v>
      </c>
      <c r="AE509" s="324" t="e">
        <f t="shared" ca="1" si="208"/>
        <v>#N/A</v>
      </c>
      <c r="AG509" s="306">
        <f t="shared" ca="1" si="230"/>
        <v>0.71253460192119356</v>
      </c>
      <c r="AH509" s="304">
        <f t="shared" ca="1" si="231"/>
        <v>-9.0760780736028135</v>
      </c>
    </row>
    <row r="510" spans="1:34" x14ac:dyDescent="0.2">
      <c r="A510" s="347">
        <f t="shared" ca="1" si="209"/>
        <v>0.1</v>
      </c>
      <c r="B510" s="304">
        <f t="shared" ca="1" si="210"/>
        <v>35.800000000000196</v>
      </c>
      <c r="D510" s="306">
        <f t="shared" ca="1" si="211"/>
        <v>-0.59481003765865992</v>
      </c>
      <c r="E510" s="307">
        <f t="shared" ca="1" si="212"/>
        <v>-0.73151458897005561</v>
      </c>
      <c r="F510" s="304">
        <f t="shared" ca="1" si="213"/>
        <v>0.94282160283667971</v>
      </c>
      <c r="G510" s="306">
        <f t="shared" ca="1" si="214"/>
        <v>6.7728760299651478</v>
      </c>
      <c r="H510" s="307">
        <f t="shared" ca="1" si="215"/>
        <v>-104.35426597712602</v>
      </c>
      <c r="I510" s="304">
        <f t="shared" ca="1" si="216"/>
        <v>104.5738240543112</v>
      </c>
      <c r="J510" s="306">
        <f t="shared" ca="1" si="217"/>
        <v>739.38727915029801</v>
      </c>
      <c r="K510" s="307">
        <f t="shared" ca="1" si="218"/>
        <v>96.011153451124414</v>
      </c>
      <c r="L510" s="304">
        <f t="shared" ca="1" si="203"/>
        <v>745.59485657848802</v>
      </c>
      <c r="M510" s="306">
        <f t="shared" ca="1" si="219"/>
        <v>-1.5059845053362801</v>
      </c>
      <c r="N510" s="304">
        <f t="shared" ca="1" si="220"/>
        <v>-86.286556167865854</v>
      </c>
      <c r="P510" s="310">
        <f t="shared" ca="1" si="221"/>
        <v>23</v>
      </c>
      <c r="Q510" s="304">
        <f t="shared" ca="1" si="222"/>
        <v>0</v>
      </c>
      <c r="R510" s="306">
        <f t="shared" ca="1" si="223"/>
        <v>0</v>
      </c>
      <c r="S510" s="307">
        <f t="shared" ca="1" si="224"/>
        <v>2.9792999999999985</v>
      </c>
      <c r="T510" s="304">
        <f t="shared" ca="1" si="204"/>
        <v>29.226932999999988</v>
      </c>
      <c r="U510" s="311">
        <f t="shared" ca="1" si="205"/>
        <v>0</v>
      </c>
      <c r="V510" s="306">
        <f t="shared" ca="1" si="206"/>
        <v>1.2132948250695585</v>
      </c>
      <c r="W510" s="304">
        <f t="shared" ca="1" si="207"/>
        <v>27.169721943610789</v>
      </c>
      <c r="Y510" s="314" t="str">
        <f t="shared" ca="1" si="225"/>
        <v/>
      </c>
      <c r="Z510" s="315" t="str">
        <f t="shared" ca="1" si="226"/>
        <v/>
      </c>
      <c r="AA510" s="316" t="str">
        <f t="shared" ca="1" si="227"/>
        <v/>
      </c>
      <c r="AC510" s="310" t="e">
        <f t="shared" ca="1" si="228"/>
        <v>#N/A</v>
      </c>
      <c r="AD510" s="323" t="e">
        <f t="shared" ca="1" si="229"/>
        <v>#N/A</v>
      </c>
      <c r="AE510" s="324" t="e">
        <f t="shared" ca="1" si="208"/>
        <v>#N/A</v>
      </c>
      <c r="AG510" s="306">
        <f t="shared" ca="1" si="230"/>
        <v>0.69106177346233721</v>
      </c>
      <c r="AH510" s="304">
        <f t="shared" ca="1" si="231"/>
        <v>-9.0979501174266204</v>
      </c>
    </row>
    <row r="511" spans="1:34" x14ac:dyDescent="0.2">
      <c r="A511" s="347">
        <f t="shared" ca="1" si="209"/>
        <v>0.1</v>
      </c>
      <c r="B511" s="304">
        <f t="shared" ca="1" si="210"/>
        <v>35.900000000000198</v>
      </c>
      <c r="D511" s="306">
        <f t="shared" ca="1" si="211"/>
        <v>-0.59063760455097292</v>
      </c>
      <c r="E511" s="307">
        <f t="shared" ca="1" si="212"/>
        <v>-0.70964833126851445</v>
      </c>
      <c r="F511" s="304">
        <f t="shared" ca="1" si="213"/>
        <v>0.92328410252852211</v>
      </c>
      <c r="G511" s="306">
        <f t="shared" ca="1" si="214"/>
        <v>6.7138122695100506</v>
      </c>
      <c r="H511" s="307">
        <f t="shared" ca="1" si="215"/>
        <v>-104.42523081025287</v>
      </c>
      <c r="I511" s="304">
        <f t="shared" ca="1" si="216"/>
        <v>104.64083383156314</v>
      </c>
      <c r="J511" s="306">
        <f t="shared" ca="1" si="217"/>
        <v>740.06161356527173</v>
      </c>
      <c r="K511" s="307">
        <f t="shared" ca="1" si="218"/>
        <v>85.572178611755476</v>
      </c>
      <c r="L511" s="304">
        <f t="shared" ca="1" si="203"/>
        <v>744.99247622052917</v>
      </c>
      <c r="M511" s="306">
        <f t="shared" ca="1" si="219"/>
        <v>-1.5065916860652084</v>
      </c>
      <c r="N511" s="304">
        <f t="shared" ca="1" si="220"/>
        <v>-86.321345061035117</v>
      </c>
      <c r="P511" s="310">
        <f t="shared" ca="1" si="221"/>
        <v>23</v>
      </c>
      <c r="Q511" s="304">
        <f t="shared" ca="1" si="222"/>
        <v>0</v>
      </c>
      <c r="R511" s="306">
        <f t="shared" ca="1" si="223"/>
        <v>0</v>
      </c>
      <c r="S511" s="307">
        <f t="shared" ca="1" si="224"/>
        <v>2.9792999999999985</v>
      </c>
      <c r="T511" s="304">
        <f t="shared" ca="1" si="204"/>
        <v>29.226932999999988</v>
      </c>
      <c r="U511" s="311">
        <f t="shared" ca="1" si="205"/>
        <v>0</v>
      </c>
      <c r="V511" s="306">
        <f t="shared" ca="1" si="206"/>
        <v>1.214562067949349</v>
      </c>
      <c r="W511" s="304">
        <f t="shared" ca="1" si="207"/>
        <v>27.232967407701469</v>
      </c>
      <c r="Y511" s="314" t="str">
        <f t="shared" ca="1" si="225"/>
        <v/>
      </c>
      <c r="Z511" s="315" t="str">
        <f t="shared" ca="1" si="226"/>
        <v/>
      </c>
      <c r="AA511" s="316" t="str">
        <f t="shared" ca="1" si="227"/>
        <v/>
      </c>
      <c r="AC511" s="310" t="e">
        <f t="shared" ca="1" si="228"/>
        <v>#N/A</v>
      </c>
      <c r="AD511" s="323" t="e">
        <f t="shared" ca="1" si="229"/>
        <v>#N/A</v>
      </c>
      <c r="AE511" s="324" t="e">
        <f t="shared" ca="1" si="208"/>
        <v>#N/A</v>
      </c>
      <c r="AG511" s="306">
        <f t="shared" ca="1" si="230"/>
        <v>0.66990488366166545</v>
      </c>
      <c r="AH511" s="304">
        <f t="shared" ca="1" si="231"/>
        <v>-9.1194985209984907</v>
      </c>
    </row>
    <row r="512" spans="1:34" x14ac:dyDescent="0.2">
      <c r="A512" s="347">
        <f t="shared" ca="1" si="209"/>
        <v>0.1</v>
      </c>
      <c r="B512" s="304">
        <f t="shared" ca="1" si="210"/>
        <v>36.000000000000199</v>
      </c>
      <c r="D512" s="306">
        <f t="shared" ca="1" si="211"/>
        <v>-0.58647395680241332</v>
      </c>
      <c r="E512" s="307">
        <f t="shared" ca="1" si="212"/>
        <v>-0.68810682741007589</v>
      </c>
      <c r="F512" s="304">
        <f t="shared" ca="1" si="213"/>
        <v>0.90412538286226596</v>
      </c>
      <c r="G512" s="306">
        <f t="shared" ca="1" si="214"/>
        <v>6.6551648738298095</v>
      </c>
      <c r="H512" s="307">
        <f t="shared" ca="1" si="215"/>
        <v>-104.49404149299387</v>
      </c>
      <c r="I512" s="304">
        <f t="shared" ca="1" si="216"/>
        <v>104.70575880550879</v>
      </c>
      <c r="J512" s="306">
        <f t="shared" ca="1" si="217"/>
        <v>740.73006242243878</v>
      </c>
      <c r="K512" s="307">
        <f t="shared" ca="1" si="218"/>
        <v>75.126214996593134</v>
      </c>
      <c r="L512" s="304">
        <f t="shared" ca="1" si="203"/>
        <v>744.53003536194853</v>
      </c>
      <c r="M512" s="306">
        <f t="shared" ca="1" si="219"/>
        <v>-1.507192813386012</v>
      </c>
      <c r="N512" s="304">
        <f t="shared" ca="1" si="220"/>
        <v>-86.355787119467166</v>
      </c>
      <c r="P512" s="310">
        <f t="shared" ca="1" si="221"/>
        <v>23</v>
      </c>
      <c r="Q512" s="304">
        <f t="shared" ca="1" si="222"/>
        <v>0</v>
      </c>
      <c r="R512" s="306">
        <f t="shared" ca="1" si="223"/>
        <v>0</v>
      </c>
      <c r="S512" s="307">
        <f t="shared" ca="1" si="224"/>
        <v>2.9792999999999985</v>
      </c>
      <c r="T512" s="304">
        <f t="shared" ca="1" si="204"/>
        <v>29.226932999999988</v>
      </c>
      <c r="U512" s="311">
        <f t="shared" ca="1" si="205"/>
        <v>0</v>
      </c>
      <c r="V512" s="306">
        <f t="shared" ca="1" si="206"/>
        <v>1.2158314784788675</v>
      </c>
      <c r="W512" s="304">
        <f t="shared" ca="1" si="207"/>
        <v>27.29526968955852</v>
      </c>
      <c r="Y512" s="314" t="str">
        <f t="shared" ca="1" si="225"/>
        <v/>
      </c>
      <c r="Z512" s="315" t="str">
        <f t="shared" ca="1" si="226"/>
        <v/>
      </c>
      <c r="AA512" s="316" t="str">
        <f t="shared" ca="1" si="227"/>
        <v/>
      </c>
      <c r="AC512" s="310">
        <f t="shared" ca="1" si="228"/>
        <v>36.000000000000199</v>
      </c>
      <c r="AD512" s="323">
        <f t="shared" ca="1" si="229"/>
        <v>740.73006242243878</v>
      </c>
      <c r="AE512" s="324" t="e">
        <f t="shared" ca="1" si="208"/>
        <v>#N/A</v>
      </c>
      <c r="AG512" s="306">
        <f t="shared" ca="1" si="230"/>
        <v>0.64906056020927494</v>
      </c>
      <c r="AH512" s="304">
        <f t="shared" ca="1" si="231"/>
        <v>-9.1407268176086607</v>
      </c>
    </row>
    <row r="513" spans="1:34" x14ac:dyDescent="0.2">
      <c r="A513" s="347">
        <f t="shared" ca="1" si="209"/>
        <v>0.1</v>
      </c>
      <c r="B513" s="304">
        <f t="shared" ca="1" si="210"/>
        <v>36.1000000000002</v>
      </c>
      <c r="D513" s="306">
        <f t="shared" ca="1" si="211"/>
        <v>-0.5823195941218654</v>
      </c>
      <c r="E513" s="307">
        <f t="shared" ca="1" si="212"/>
        <v>-0.66688649583566217</v>
      </c>
      <c r="F513" s="304">
        <f t="shared" ca="1" si="213"/>
        <v>0.88534383604689015</v>
      </c>
      <c r="G513" s="306">
        <f t="shared" ca="1" si="214"/>
        <v>6.5969329144176232</v>
      </c>
      <c r="H513" s="307">
        <f t="shared" ca="1" si="215"/>
        <v>-104.56073014257744</v>
      </c>
      <c r="I513" s="304">
        <f t="shared" ca="1" si="216"/>
        <v>104.76862990335528</v>
      </c>
      <c r="J513" s="306">
        <f t="shared" ca="1" si="217"/>
        <v>741.39266731185114</v>
      </c>
      <c r="K513" s="307">
        <f t="shared" ca="1" si="218"/>
        <v>64.673476414814573</v>
      </c>
      <c r="L513" s="304">
        <f t="shared" ca="1" si="203"/>
        <v>744.20813331712441</v>
      </c>
      <c r="M513" s="306">
        <f t="shared" ca="1" si="219"/>
        <v>-1.5077879628120263</v>
      </c>
      <c r="N513" s="304">
        <f t="shared" ca="1" si="220"/>
        <v>-86.389886669757431</v>
      </c>
      <c r="P513" s="310">
        <f t="shared" ca="1" si="221"/>
        <v>23</v>
      </c>
      <c r="Q513" s="304">
        <f t="shared" ca="1" si="222"/>
        <v>0</v>
      </c>
      <c r="R513" s="306">
        <f t="shared" ca="1" si="223"/>
        <v>0</v>
      </c>
      <c r="S513" s="307">
        <f t="shared" ca="1" si="224"/>
        <v>2.9792999999999985</v>
      </c>
      <c r="T513" s="304">
        <f t="shared" ca="1" si="204"/>
        <v>29.226932999999988</v>
      </c>
      <c r="U513" s="311">
        <f t="shared" ca="1" si="205"/>
        <v>0</v>
      </c>
      <c r="V513" s="306">
        <f t="shared" ca="1" si="206"/>
        <v>1.2171030353470471</v>
      </c>
      <c r="W513" s="304">
        <f t="shared" ca="1" si="207"/>
        <v>27.356639283618584</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0.62852543173932851</v>
      </c>
      <c r="AH513" s="304">
        <f t="shared" ca="1" si="231"/>
        <v>-9.1616385357495158</v>
      </c>
    </row>
    <row r="514" spans="1:34" x14ac:dyDescent="0.2">
      <c r="A514" s="347">
        <f t="shared" ca="1" si="209"/>
        <v>0.1</v>
      </c>
      <c r="B514" s="304">
        <f t="shared" ca="1" si="210"/>
        <v>36.200000000000202</v>
      </c>
      <c r="D514" s="306">
        <f t="shared" ca="1" si="211"/>
        <v>-0.5781750019495917</v>
      </c>
      <c r="E514" s="307">
        <f t="shared" ca="1" si="212"/>
        <v>-0.64598376119422696</v>
      </c>
      <c r="F514" s="304">
        <f t="shared" ca="1" si="213"/>
        <v>0.86693791738858117</v>
      </c>
      <c r="G514" s="306">
        <f t="shared" ca="1" si="214"/>
        <v>6.539115414222664</v>
      </c>
      <c r="H514" s="307">
        <f t="shared" ca="1" si="215"/>
        <v>-104.62532851869686</v>
      </c>
      <c r="I514" s="304">
        <f t="shared" ca="1" si="216"/>
        <v>104.82947771521981</v>
      </c>
      <c r="J514" s="306">
        <f t="shared" ca="1" si="217"/>
        <v>742.04946972828316</v>
      </c>
      <c r="K514" s="307">
        <f t="shared" ca="1" si="218"/>
        <v>54.214173481750855</v>
      </c>
      <c r="L514" s="304">
        <f t="shared" ca="1" si="203"/>
        <v>744.02727915738114</v>
      </c>
      <c r="M514" s="306">
        <f t="shared" ca="1" si="219"/>
        <v>-1.508377208500703</v>
      </c>
      <c r="N514" s="304">
        <f t="shared" ca="1" si="220"/>
        <v>-86.423647960814876</v>
      </c>
      <c r="P514" s="310">
        <f t="shared" ca="1" si="221"/>
        <v>23</v>
      </c>
      <c r="Q514" s="304">
        <f t="shared" ca="1" si="222"/>
        <v>0</v>
      </c>
      <c r="R514" s="306">
        <f t="shared" ca="1" si="223"/>
        <v>0</v>
      </c>
      <c r="S514" s="307">
        <f t="shared" ca="1" si="224"/>
        <v>2.9792999999999985</v>
      </c>
      <c r="T514" s="304">
        <f t="shared" ca="1" si="204"/>
        <v>29.226932999999988</v>
      </c>
      <c r="U514" s="311">
        <f t="shared" ca="1" si="205"/>
        <v>0</v>
      </c>
      <c r="V514" s="306">
        <f t="shared" ca="1" si="206"/>
        <v>1.2183767175377069</v>
      </c>
      <c r="W514" s="304">
        <f t="shared" ca="1" si="207"/>
        <v>27.417086662747938</v>
      </c>
      <c r="Y514" s="314" t="str">
        <f t="shared" ca="1" si="225"/>
        <v/>
      </c>
      <c r="Z514" s="315" t="str">
        <f t="shared" ca="1" si="226"/>
        <v/>
      </c>
      <c r="AA514" s="316" t="str">
        <f t="shared" ca="1" si="227"/>
        <v/>
      </c>
      <c r="AC514" s="310" t="e">
        <f t="shared" ca="1" si="228"/>
        <v>#N/A</v>
      </c>
      <c r="AD514" s="323" t="e">
        <f t="shared" ca="1" si="229"/>
        <v>#N/A</v>
      </c>
      <c r="AE514" s="324" t="e">
        <f t="shared" ca="1" si="208"/>
        <v>#N/A</v>
      </c>
      <c r="AG514" s="306">
        <f t="shared" ca="1" si="230"/>
        <v>0.60829612918342768</v>
      </c>
      <c r="AH514" s="304">
        <f t="shared" ca="1" si="231"/>
        <v>-9.1822371978715136</v>
      </c>
    </row>
    <row r="515" spans="1:34" x14ac:dyDescent="0.2">
      <c r="A515" s="347">
        <f t="shared" ca="1" si="209"/>
        <v>0.1</v>
      </c>
      <c r="B515" s="304">
        <f t="shared" ca="1" si="210"/>
        <v>36.300000000000203</v>
      </c>
      <c r="D515" s="306">
        <f t="shared" ca="1" si="211"/>
        <v>-0.57404065168623641</v>
      </c>
      <c r="E515" s="307">
        <f t="shared" ca="1" si="212"/>
        <v>-0.62539505555602126</v>
      </c>
      <c r="F515" s="304">
        <f t="shared" ca="1" si="213"/>
        <v>0.84890614634497608</v>
      </c>
      <c r="G515" s="306">
        <f t="shared" ca="1" si="214"/>
        <v>6.4817113490540406</v>
      </c>
      <c r="H515" s="307">
        <f t="shared" ca="1" si="215"/>
        <v>-104.68786802425247</v>
      </c>
      <c r="I515" s="304">
        <f t="shared" ca="1" si="216"/>
        <v>104.8883324944951</v>
      </c>
      <c r="J515" s="306">
        <f t="shared" ca="1" si="217"/>
        <v>742.70051106644701</v>
      </c>
      <c r="K515" s="307">
        <f t="shared" ca="1" si="218"/>
        <v>43.748513654603386</v>
      </c>
      <c r="L515" s="304">
        <f t="shared" ca="1" si="203"/>
        <v>743.98789075182435</v>
      </c>
      <c r="M515" s="306">
        <f t="shared" ca="1" si="219"/>
        <v>-1.5089606232865607</v>
      </c>
      <c r="N515" s="304">
        <f t="shared" ca="1" si="220"/>
        <v>-86.457075165750055</v>
      </c>
      <c r="P515" s="310">
        <f t="shared" ca="1" si="221"/>
        <v>23</v>
      </c>
      <c r="Q515" s="304">
        <f t="shared" ca="1" si="222"/>
        <v>0</v>
      </c>
      <c r="R515" s="306">
        <f t="shared" ca="1" si="223"/>
        <v>0</v>
      </c>
      <c r="S515" s="307">
        <f t="shared" ca="1" si="224"/>
        <v>2.9792999999999985</v>
      </c>
      <c r="T515" s="304">
        <f t="shared" ca="1" si="204"/>
        <v>29.226932999999988</v>
      </c>
      <c r="U515" s="311">
        <f t="shared" ca="1" si="205"/>
        <v>0</v>
      </c>
      <c r="V515" s="306">
        <f t="shared" ca="1" si="206"/>
        <v>1.2196525043266855</v>
      </c>
      <c r="W515" s="304">
        <f t="shared" ca="1" si="207"/>
        <v>27.476622274806786</v>
      </c>
      <c r="Y515" s="314" t="str">
        <f t="shared" ca="1" si="225"/>
        <v/>
      </c>
      <c r="Z515" s="315" t="str">
        <f t="shared" ca="1" si="226"/>
        <v/>
      </c>
      <c r="AA515" s="316" t="str">
        <f t="shared" ca="1" si="227"/>
        <v/>
      </c>
      <c r="AC515" s="310" t="e">
        <f t="shared" ca="1" si="228"/>
        <v>#N/A</v>
      </c>
      <c r="AD515" s="323" t="e">
        <f t="shared" ca="1" si="229"/>
        <v>#N/A</v>
      </c>
      <c r="AE515" s="324" t="e">
        <f t="shared" ca="1" si="208"/>
        <v>#N/A</v>
      </c>
      <c r="AG515" s="306">
        <f t="shared" ca="1" si="230"/>
        <v>0.58836928707440173</v>
      </c>
      <c r="AH515" s="304">
        <f t="shared" ca="1" si="231"/>
        <v>-9.2025263191850275</v>
      </c>
    </row>
    <row r="516" spans="1:34" x14ac:dyDescent="0.2">
      <c r="A516" s="347">
        <f t="shared" ca="1" si="209"/>
        <v>0.1</v>
      </c>
      <c r="B516" s="304">
        <f t="shared" ca="1" si="210"/>
        <v>36.400000000000205</v>
      </c>
      <c r="D516" s="306">
        <f t="shared" ca="1" si="211"/>
        <v>-0.56991700092145647</v>
      </c>
      <c r="E516" s="307">
        <f t="shared" ca="1" si="212"/>
        <v>-0.60511681958027985</v>
      </c>
      <c r="F516" s="304">
        <f t="shared" ca="1" si="213"/>
        <v>0.83124710723001038</v>
      </c>
      <c r="G516" s="306">
        <f t="shared" ca="1" si="214"/>
        <v>6.4247196489618945</v>
      </c>
      <c r="H516" s="307">
        <f t="shared" ca="1" si="215"/>
        <v>-104.7483797062105</v>
      </c>
      <c r="I516" s="304">
        <f t="shared" ca="1" si="216"/>
        <v>104.9452241583399</v>
      </c>
      <c r="J516" s="306">
        <f t="shared" ca="1" si="217"/>
        <v>743.34583261634782</v>
      </c>
      <c r="K516" s="307">
        <f t="shared" ca="1" si="218"/>
        <v>33.276701268080238</v>
      </c>
      <c r="L516" s="304">
        <f t="shared" ref="L516:L579" ca="1" si="232">SQRT(pos_x^2+pos_z^2)</f>
        <v>744.09029406072511</v>
      </c>
      <c r="M516" s="306">
        <f t="shared" ca="1" si="219"/>
        <v>-1.5095382787131819</v>
      </c>
      <c r="N516" s="304">
        <f t="shared" ca="1" si="220"/>
        <v>-86.490172383708284</v>
      </c>
      <c r="P516" s="310">
        <f t="shared" ca="1" si="221"/>
        <v>23</v>
      </c>
      <c r="Q516" s="304">
        <f t="shared" ca="1" si="222"/>
        <v>0</v>
      </c>
      <c r="R516" s="306">
        <f t="shared" ca="1" si="223"/>
        <v>0</v>
      </c>
      <c r="S516" s="307">
        <f t="shared" ca="1" si="224"/>
        <v>2.9792999999999985</v>
      </c>
      <c r="T516" s="304">
        <f t="shared" ref="T516:T579" ca="1" si="233">m*g</f>
        <v>29.226932999999988</v>
      </c>
      <c r="U516" s="311">
        <f t="shared" ref="U516:U579" ca="1" si="234">IF(pos_xz&lt;L_rampe,Poids*COS(Beta),0)</f>
        <v>0</v>
      </c>
      <c r="V516" s="306">
        <f t="shared" ref="V516:V579" ca="1" si="235">Rho_moyen*(20000-Alt_rampe-pos_z)/(20000+Alt_rampe+pos_z)</f>
        <v>1.2209303752789658</v>
      </c>
      <c r="W516" s="304">
        <f t="shared" ref="W516:W579" ca="1" si="236">1/2*Rho*Sref*Cx*vit_xz^2</f>
        <v>27.535256539344626</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0.56874154480161287</v>
      </c>
      <c r="AH516" s="304">
        <f t="shared" ca="1" si="231"/>
        <v>-9.2225094065071662</v>
      </c>
    </row>
    <row r="517" spans="1:34" x14ac:dyDescent="0.2">
      <c r="A517" s="347">
        <f t="shared" ref="A517:A580" ca="1" si="238">IF(B516+0.01&lt;=T_ini+ROUNDUP(Temps_fin_propu,0), 0.01, IF(K516&gt;0, 0.1, 0.0001))</f>
        <v>0.1</v>
      </c>
      <c r="B517" s="304">
        <f t="shared" ref="B517:B580" ca="1" si="239">B516+pas</f>
        <v>36.500000000000206</v>
      </c>
      <c r="D517" s="306">
        <f t="shared" ref="D517:D580" ca="1" si="240">IF(AND(L516&lt;L_rampe,Poussee&lt;Poids*SIN(M516)),0,(-W516+Poussee)/m*COS(M516)-U516/m*SIN(M516))</f>
        <v>-0.56580449366201779</v>
      </c>
      <c r="E517" s="307">
        <f t="shared" ref="E517:E580" ca="1" si="241">IF(AND(L516&lt;L_rampe,Poussee&lt;Poids*SIN(M516)),0,(-W516+Poussee)/m*SIN(M516)+U516/m*COS(M516)-Poids/m)</f>
        <v>-0.5851455036383566</v>
      </c>
      <c r="F517" s="304">
        <f t="shared" ref="F517:F580" ca="1" si="242">SQRT(acc_x^2+acc_z^2)</f>
        <v>0.81395944952824173</v>
      </c>
      <c r="G517" s="306">
        <f t="shared" ref="G517:G580" ca="1" si="243">G516+acc_x*pas</f>
        <v>6.3681391995956931</v>
      </c>
      <c r="H517" s="307">
        <f t="shared" ref="H517:H580" ca="1" si="244">H516+acc_z*pas</f>
        <v>-104.80689425657434</v>
      </c>
      <c r="I517" s="304">
        <f t="shared" ref="I517:I580" ca="1" si="245">SQRT(vit_x^2+vit_z^2)</f>
        <v>105.00018228829025</v>
      </c>
      <c r="J517" s="306">
        <f t="shared" ref="J517:J580" ca="1" si="246">J516+0.5*(vit_x+G516)*pas*(K516&gt;=0)</f>
        <v>743.98547555877565</v>
      </c>
      <c r="K517" s="307">
        <f t="shared" ref="K517:K580" ca="1" si="247">K516+0.5*(vit_z+H516)*pas</f>
        <v>22.798937569940996</v>
      </c>
      <c r="L517" s="304">
        <f t="shared" ca="1" si="232"/>
        <v>744.33472268646426</v>
      </c>
      <c r="M517" s="306">
        <f t="shared" ref="M517:M580" ca="1" si="248">IF(AND(L516&gt;L_rampe,G517&gt;0),ATAN2(G517,H517),$M$4)</f>
        <v>-1.5101102450642858</v>
      </c>
      <c r="N517" s="304">
        <f t="shared" ref="N517:N580" ca="1" si="249">DEGREES(Beta)</f>
        <v>-86.522943641650031</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2.9792999999999985</v>
      </c>
      <c r="T517" s="304">
        <f t="shared" ca="1" si="233"/>
        <v>29.226932999999988</v>
      </c>
      <c r="U517" s="311">
        <f t="shared" ca="1" si="234"/>
        <v>0</v>
      </c>
      <c r="V517" s="306">
        <f t="shared" ca="1" si="235"/>
        <v>1.2222103102458097</v>
      </c>
      <c r="W517" s="304">
        <f t="shared" ca="1" si="236"/>
        <v>27.592999844424227</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t="e">
        <f t="shared" ca="1" si="237"/>
        <v>#N/A</v>
      </c>
      <c r="AG517" s="306">
        <f t="shared" ref="AG517:AG580" ca="1" si="259">IF(AND(L516&lt;L_rampe,Poussee&lt;Poids*SIN(M516)),0,(-W516+Poussee)/m-Poids*SIN(M516)/m)</f>
        <v>0.54940954781894291</v>
      </c>
      <c r="AH517" s="304">
        <f t="shared" ref="AH517:AH580" ca="1" si="260">IF(AND(L516&lt;L_rampe,Poussee&lt;Poids*SIN(M516)), g*SIN(M516), (-W516+Poussee)/m)</f>
        <v>-9.2421899571525667</v>
      </c>
    </row>
    <row r="518" spans="1:34" x14ac:dyDescent="0.2">
      <c r="A518" s="347">
        <f t="shared" ca="1" si="238"/>
        <v>0.1</v>
      </c>
      <c r="B518" s="304">
        <f t="shared" ca="1" si="239"/>
        <v>36.600000000000207</v>
      </c>
      <c r="D518" s="306">
        <f t="shared" ca="1" si="240"/>
        <v>-0.56170356055923876</v>
      </c>
      <c r="E518" s="307">
        <f t="shared" ca="1" si="241"/>
        <v>-0.56547756889310641</v>
      </c>
      <c r="F518" s="304">
        <f t="shared" ca="1" si="242"/>
        <v>0.79704188777390128</v>
      </c>
      <c r="G518" s="306">
        <f t="shared" ca="1" si="243"/>
        <v>6.3119688435397689</v>
      </c>
      <c r="H518" s="307">
        <f t="shared" ca="1" si="244"/>
        <v>-104.86344201346365</v>
      </c>
      <c r="I518" s="304">
        <f t="shared" ca="1" si="245"/>
        <v>105.0532361309868</v>
      </c>
      <c r="J518" s="306">
        <f t="shared" ca="1" si="246"/>
        <v>744.61948096093238</v>
      </c>
      <c r="K518" s="307">
        <f t="shared" ca="1" si="247"/>
        <v>12.315420756439096</v>
      </c>
      <c r="L518" s="304">
        <f t="shared" ca="1" si="232"/>
        <v>744.7213176853046</v>
      </c>
      <c r="M518" s="306">
        <f t="shared" ca="1" si="248"/>
        <v>-1.5106765913939066</v>
      </c>
      <c r="N518" s="304">
        <f t="shared" ca="1" si="249"/>
        <v>-86.555392896080036</v>
      </c>
      <c r="P518" s="310">
        <f t="shared" ca="1" si="250"/>
        <v>23</v>
      </c>
      <c r="Q518" s="304">
        <f t="shared" ca="1" si="251"/>
        <v>0</v>
      </c>
      <c r="R518" s="306">
        <f t="shared" ca="1" si="252"/>
        <v>0</v>
      </c>
      <c r="S518" s="307">
        <f t="shared" ca="1" si="253"/>
        <v>2.9792999999999985</v>
      </c>
      <c r="T518" s="304">
        <f t="shared" ca="1" si="233"/>
        <v>29.226932999999988</v>
      </c>
      <c r="U518" s="311">
        <f t="shared" ca="1" si="234"/>
        <v>0</v>
      </c>
      <c r="V518" s="306">
        <f t="shared" ca="1" si="235"/>
        <v>1.2234922893618805</v>
      </c>
      <c r="W518" s="304">
        <f t="shared" ca="1" si="236"/>
        <v>27.649862543570865</v>
      </c>
      <c r="Y518" s="314" t="str">
        <f t="shared" ca="1" si="254"/>
        <v/>
      </c>
      <c r="Z518" s="315" t="str">
        <f t="shared" ca="1" si="255"/>
        <v/>
      </c>
      <c r="AA518" s="316" t="str">
        <f t="shared" ca="1" si="256"/>
        <v/>
      </c>
      <c r="AC518" s="310" t="e">
        <f t="shared" ca="1" si="257"/>
        <v>#N/A</v>
      </c>
      <c r="AD518" s="323" t="e">
        <f t="shared" ca="1" si="258"/>
        <v>#N/A</v>
      </c>
      <c r="AE518" s="324" t="e">
        <f t="shared" ca="1" si="237"/>
        <v>#N/A</v>
      </c>
      <c r="AG518" s="306">
        <f t="shared" ca="1" si="259"/>
        <v>0.53036994880632093</v>
      </c>
      <c r="AH518" s="304">
        <f t="shared" ca="1" si="260"/>
        <v>-9.2615714578673654</v>
      </c>
    </row>
    <row r="519" spans="1:34" x14ac:dyDescent="0.2">
      <c r="A519" s="347">
        <f t="shared" ca="1" si="238"/>
        <v>0.1</v>
      </c>
      <c r="B519" s="304">
        <f t="shared" ca="1" si="239"/>
        <v>36.700000000000209</v>
      </c>
      <c r="D519" s="306">
        <f t="shared" ca="1" si="240"/>
        <v>-0.55761461913563171</v>
      </c>
      <c r="E519" s="307">
        <f t="shared" ca="1" si="241"/>
        <v>-0.54610948833566653</v>
      </c>
      <c r="F519" s="304">
        <f t="shared" ca="1" si="242"/>
        <v>0.78049320094669572</v>
      </c>
      <c r="G519" s="306">
        <f t="shared" ca="1" si="243"/>
        <v>6.256207381626206</v>
      </c>
      <c r="H519" s="307">
        <f t="shared" ca="1" si="244"/>
        <v>-104.91805296229722</v>
      </c>
      <c r="I519" s="304">
        <f t="shared" ca="1" si="245"/>
        <v>105.10441459901348</v>
      </c>
      <c r="J519" s="306">
        <f t="shared" ca="1" si="246"/>
        <v>745.24788977219066</v>
      </c>
      <c r="K519" s="307">
        <f t="shared" ca="1" si="247"/>
        <v>1.8263460076510505</v>
      </c>
      <c r="L519" s="304">
        <f t="shared" ca="1" si="232"/>
        <v>745.2501276414805</v>
      </c>
      <c r="M519" s="306">
        <f t="shared" ca="1" si="248"/>
        <v>-1.5112373855557095</v>
      </c>
      <c r="N519" s="304">
        <f t="shared" ca="1" si="249"/>
        <v>-86.587524034726911</v>
      </c>
      <c r="P519" s="310">
        <f t="shared" ca="1" si="250"/>
        <v>23</v>
      </c>
      <c r="Q519" s="304">
        <f t="shared" ca="1" si="251"/>
        <v>0</v>
      </c>
      <c r="R519" s="306">
        <f t="shared" ca="1" si="252"/>
        <v>0</v>
      </c>
      <c r="S519" s="307">
        <f t="shared" ca="1" si="253"/>
        <v>2.9792999999999985</v>
      </c>
      <c r="T519" s="304">
        <f t="shared" ca="1" si="233"/>
        <v>29.226932999999988</v>
      </c>
      <c r="U519" s="311">
        <f t="shared" ca="1" si="234"/>
        <v>0</v>
      </c>
      <c r="V519" s="306">
        <f t="shared" ca="1" si="235"/>
        <v>1.224776293042378</v>
      </c>
      <c r="W519" s="304">
        <f t="shared" ca="1" si="236"/>
        <v>27.705854952844678</v>
      </c>
      <c r="Y519" s="314" t="str">
        <f t="shared" ca="1" si="254"/>
        <v/>
      </c>
      <c r="Z519" s="315" t="str">
        <f t="shared" ca="1" si="255"/>
        <v/>
      </c>
      <c r="AA519" s="316" t="str">
        <f t="shared" ca="1" si="256"/>
        <v/>
      </c>
      <c r="AC519" s="310" t="e">
        <f t="shared" ca="1" si="257"/>
        <v>#N/A</v>
      </c>
      <c r="AD519" s="323" t="e">
        <f t="shared" ca="1" si="258"/>
        <v>#N/A</v>
      </c>
      <c r="AE519" s="324" t="e">
        <f t="shared" ca="1" si="237"/>
        <v>#N/A</v>
      </c>
      <c r="AG519" s="306">
        <f t="shared" ca="1" si="259"/>
        <v>0.51161940878611034</v>
      </c>
      <c r="AH519" s="304">
        <f t="shared" ca="1" si="260"/>
        <v>-9.2806573838052149</v>
      </c>
    </row>
    <row r="520" spans="1:34" x14ac:dyDescent="0.2">
      <c r="A520" s="347">
        <f t="shared" ca="1" si="238"/>
        <v>0.1</v>
      </c>
      <c r="B520" s="304">
        <f t="shared" ca="1" si="239"/>
        <v>36.80000000000021</v>
      </c>
      <c r="D520" s="306">
        <f t="shared" ca="1" si="240"/>
        <v>-0.55353807401061783</v>
      </c>
      <c r="E520" s="307">
        <f t="shared" ca="1" si="241"/>
        <v>-0.52703774778036205</v>
      </c>
      <c r="F520" s="304">
        <f t="shared" ca="1" si="242"/>
        <v>0.76431223133270665</v>
      </c>
      <c r="G520" s="306">
        <f t="shared" ca="1" si="243"/>
        <v>6.2008535742251443</v>
      </c>
      <c r="H520" s="307">
        <f t="shared" ca="1" si="244"/>
        <v>-104.97075673707526</v>
      </c>
      <c r="I520" s="304">
        <f t="shared" ca="1" si="245"/>
        <v>105.15374627184336</v>
      </c>
      <c r="J520" s="306">
        <f t="shared" ca="1" si="246"/>
        <v>745.87074281998321</v>
      </c>
      <c r="K520" s="307">
        <f t="shared" ca="1" si="247"/>
        <v>-8.6680944773175739</v>
      </c>
      <c r="L520" s="304">
        <f t="shared" ca="1" si="232"/>
        <v>745.92110900329214</v>
      </c>
      <c r="M520" s="306">
        <f t="shared" ca="1" si="248"/>
        <v>-1.5117926942314688</v>
      </c>
      <c r="N520" s="304">
        <f t="shared" ca="1" si="249"/>
        <v>-86.619340878174924</v>
      </c>
      <c r="P520" s="310">
        <f t="shared" ca="1" si="250"/>
        <v>23</v>
      </c>
      <c r="Q520" s="304">
        <f t="shared" ca="1" si="251"/>
        <v>0</v>
      </c>
      <c r="R520" s="306">
        <f t="shared" ca="1" si="252"/>
        <v>0</v>
      </c>
      <c r="S520" s="307">
        <f t="shared" ca="1" si="253"/>
        <v>2.9792999999999985</v>
      </c>
      <c r="T520" s="304">
        <f t="shared" ca="1" si="233"/>
        <v>29.226932999999988</v>
      </c>
      <c r="U520" s="311">
        <f t="shared" ca="1" si="234"/>
        <v>0</v>
      </c>
      <c r="V520" s="306">
        <f t="shared" ca="1" si="235"/>
        <v>1.226062301980168</v>
      </c>
      <c r="W520" s="304">
        <f t="shared" ca="1" si="236"/>
        <v>27.760987348032899</v>
      </c>
      <c r="Y520" s="314" t="str">
        <f t="shared" ca="1" si="254"/>
        <v>Impact balistique</v>
      </c>
      <c r="Z520" s="315" t="str">
        <f t="shared" ca="1" si="255"/>
        <v/>
      </c>
      <c r="AA520" s="316" t="str">
        <f t="shared" ca="1" si="256"/>
        <v/>
      </c>
      <c r="AC520" s="310" t="e">
        <f t="shared" ca="1" si="257"/>
        <v>#N/A</v>
      </c>
      <c r="AD520" s="323" t="e">
        <f t="shared" ca="1" si="258"/>
        <v>#N/A</v>
      </c>
      <c r="AE520" s="324" t="e">
        <f t="shared" ca="1" si="237"/>
        <v>#N/A</v>
      </c>
      <c r="AG520" s="306">
        <f t="shared" ca="1" si="259"/>
        <v>0.49315459819515439</v>
      </c>
      <c r="AH520" s="304">
        <f t="shared" ca="1" si="260"/>
        <v>-9.2994511975446219</v>
      </c>
    </row>
    <row r="521" spans="1:34" x14ac:dyDescent="0.2">
      <c r="A521" s="347">
        <f t="shared" ca="1" si="238"/>
        <v>1E-4</v>
      </c>
      <c r="B521" s="304">
        <f t="shared" ca="1" si="239"/>
        <v>36.800100000000214</v>
      </c>
      <c r="D521" s="306">
        <f t="shared" ca="1" si="240"/>
        <v>-0.54947431712520456</v>
      </c>
      <c r="E521" s="307">
        <f t="shared" ca="1" si="241"/>
        <v>-0.50825884681885469</v>
      </c>
      <c r="F521" s="304">
        <f t="shared" ca="1" si="242"/>
        <v>0.74849788279583118</v>
      </c>
      <c r="G521" s="306">
        <f t="shared" ca="1" si="243"/>
        <v>6.2007986267934321</v>
      </c>
      <c r="H521" s="307">
        <f t="shared" ca="1" si="244"/>
        <v>-104.97080756295995</v>
      </c>
      <c r="I521" s="304">
        <f t="shared" ca="1" si="245"/>
        <v>105.15379376907907</v>
      </c>
      <c r="J521" s="306">
        <f t="shared" ca="1" si="246"/>
        <v>745.87074281998321</v>
      </c>
      <c r="K521" s="307">
        <f t="shared" ca="1" si="247"/>
        <v>-8.6785915555325754</v>
      </c>
      <c r="L521" s="304">
        <f t="shared" ca="1" si="232"/>
        <v>745.92123106010411</v>
      </c>
      <c r="M521" s="306">
        <f t="shared" ca="1" si="248"/>
        <v>-1.5117932443683839</v>
      </c>
      <c r="N521" s="304">
        <f t="shared" ca="1" si="249"/>
        <v>-86.619372398698303</v>
      </c>
      <c r="P521" s="310">
        <f t="shared" ca="1" si="250"/>
        <v>23</v>
      </c>
      <c r="Q521" s="304">
        <f t="shared" ca="1" si="251"/>
        <v>0</v>
      </c>
      <c r="R521" s="306">
        <f t="shared" ca="1" si="252"/>
        <v>0</v>
      </c>
      <c r="S521" s="307">
        <f t="shared" ca="1" si="253"/>
        <v>2.9792999999999985</v>
      </c>
      <c r="T521" s="304">
        <f t="shared" ca="1" si="233"/>
        <v>29.226932999999988</v>
      </c>
      <c r="U521" s="311">
        <f t="shared" ca="1" si="234"/>
        <v>0</v>
      </c>
      <c r="V521" s="306">
        <f t="shared" ca="1" si="235"/>
        <v>1.2260635889882736</v>
      </c>
      <c r="W521" s="304">
        <f t="shared" ca="1" si="236"/>
        <v>27.761041567911523</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0.47497219791370604</v>
      </c>
      <c r="AH521" s="304">
        <f t="shared" ca="1" si="260"/>
        <v>-9.3179563481465149</v>
      </c>
    </row>
    <row r="522" spans="1:34" x14ac:dyDescent="0.2">
      <c r="A522" s="347">
        <f t="shared" ca="1" si="238"/>
        <v>1E-4</v>
      </c>
      <c r="B522" s="304">
        <f t="shared" ca="1" si="239"/>
        <v>36.800200000000217</v>
      </c>
      <c r="D522" s="306">
        <f t="shared" ca="1" si="240"/>
        <v>-0.54947027306013885</v>
      </c>
      <c r="E522" s="307">
        <f t="shared" ca="1" si="241"/>
        <v>-0.50824037733835681</v>
      </c>
      <c r="F522" s="304">
        <f t="shared" ca="1" si="242"/>
        <v>0.74848237262731765</v>
      </c>
      <c r="G522" s="306">
        <f t="shared" ca="1" si="243"/>
        <v>6.2007436797661262</v>
      </c>
      <c r="H522" s="307">
        <f t="shared" ca="1" si="244"/>
        <v>-104.97085838699768</v>
      </c>
      <c r="I522" s="304">
        <f t="shared" ca="1" si="245"/>
        <v>105.1538412645267</v>
      </c>
      <c r="J522" s="306">
        <f t="shared" ca="1" si="246"/>
        <v>745.87074281998321</v>
      </c>
      <c r="K522" s="307">
        <f t="shared" ca="1" si="247"/>
        <v>-8.6890886388300732</v>
      </c>
      <c r="L522" s="304">
        <f t="shared" ca="1" si="232"/>
        <v>745.92135326467701</v>
      </c>
      <c r="M522" s="306">
        <f t="shared" ca="1" si="248"/>
        <v>-1.5117937944999271</v>
      </c>
      <c r="N522" s="304">
        <f t="shared" ca="1" si="249"/>
        <v>-86.619403918913918</v>
      </c>
      <c r="P522" s="310">
        <f t="shared" ca="1" si="250"/>
        <v>23</v>
      </c>
      <c r="Q522" s="304">
        <f t="shared" ca="1" si="251"/>
        <v>0</v>
      </c>
      <c r="R522" s="306">
        <f t="shared" ca="1" si="252"/>
        <v>0</v>
      </c>
      <c r="S522" s="307">
        <f t="shared" ca="1" si="253"/>
        <v>2.9792999999999985</v>
      </c>
      <c r="T522" s="304">
        <f t="shared" ca="1" si="233"/>
        <v>29.226932999999988</v>
      </c>
      <c r="U522" s="311">
        <f t="shared" ca="1" si="234"/>
        <v>0</v>
      </c>
      <c r="V522" s="306">
        <f t="shared" ca="1" si="235"/>
        <v>1.2260648759983539</v>
      </c>
      <c r="W522" s="304">
        <f t="shared" ca="1" si="236"/>
        <v>27.761095786954705</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0.47495431729579352</v>
      </c>
      <c r="AH522" s="304">
        <f t="shared" ca="1" si="260"/>
        <v>-9.3179745470115591</v>
      </c>
    </row>
    <row r="523" spans="1:34" x14ac:dyDescent="0.2">
      <c r="A523" s="347">
        <f t="shared" ca="1" si="238"/>
        <v>1E-4</v>
      </c>
      <c r="B523" s="304">
        <f t="shared" ca="1" si="239"/>
        <v>36.80030000000022</v>
      </c>
      <c r="D523" s="306">
        <f t="shared" ca="1" si="240"/>
        <v>-0.54946622900835085</v>
      </c>
      <c r="E523" s="307">
        <f t="shared" ca="1" si="241"/>
        <v>-0.50822190814237445</v>
      </c>
      <c r="F523" s="304">
        <f t="shared" ca="1" si="242"/>
        <v>0.74846686281794306</v>
      </c>
      <c r="G523" s="306">
        <f t="shared" ca="1" si="243"/>
        <v>6.2006887331432257</v>
      </c>
      <c r="H523" s="307">
        <f t="shared" ca="1" si="244"/>
        <v>-104.97090920918849</v>
      </c>
      <c r="I523" s="304">
        <f t="shared" ca="1" si="245"/>
        <v>105.15388875818633</v>
      </c>
      <c r="J523" s="306">
        <f t="shared" ca="1" si="246"/>
        <v>745.87074281998321</v>
      </c>
      <c r="K523" s="307">
        <f t="shared" ca="1" si="247"/>
        <v>-8.6995857272098824</v>
      </c>
      <c r="L523" s="304">
        <f t="shared" ca="1" si="232"/>
        <v>745.92147561701063</v>
      </c>
      <c r="M523" s="306">
        <f t="shared" ca="1" si="248"/>
        <v>-1.5117943446260986</v>
      </c>
      <c r="N523" s="304">
        <f t="shared" ca="1" si="249"/>
        <v>-86.619435438821739</v>
      </c>
      <c r="P523" s="310">
        <f t="shared" ca="1" si="250"/>
        <v>23</v>
      </c>
      <c r="Q523" s="304">
        <f t="shared" ca="1" si="251"/>
        <v>0</v>
      </c>
      <c r="R523" s="306">
        <f t="shared" ca="1" si="252"/>
        <v>0</v>
      </c>
      <c r="S523" s="307">
        <f t="shared" ca="1" si="253"/>
        <v>2.9792999999999985</v>
      </c>
      <c r="T523" s="304">
        <f t="shared" ca="1" si="233"/>
        <v>29.226932999999988</v>
      </c>
      <c r="U523" s="311">
        <f t="shared" ca="1" si="234"/>
        <v>0</v>
      </c>
      <c r="V523" s="306">
        <f t="shared" ca="1" si="235"/>
        <v>1.2260661630104086</v>
      </c>
      <c r="W523" s="304">
        <f t="shared" ca="1" si="236"/>
        <v>27.761150005162495</v>
      </c>
      <c r="Y523" s="314" t="str">
        <f t="shared" ca="1" si="254"/>
        <v/>
      </c>
      <c r="Z523" s="315" t="str">
        <f t="shared" ca="1" si="255"/>
        <v/>
      </c>
      <c r="AA523" s="316" t="str">
        <f t="shared" ca="1" si="256"/>
        <v/>
      </c>
      <c r="AC523" s="310" t="e">
        <f t="shared" ca="1" si="257"/>
        <v>#N/A</v>
      </c>
      <c r="AD523" s="323" t="e">
        <f t="shared" ca="1" si="258"/>
        <v>#N/A</v>
      </c>
      <c r="AE523" s="324" t="e">
        <f t="shared" ca="1" si="237"/>
        <v>#N/A</v>
      </c>
      <c r="AG523" s="306">
        <f t="shared" ca="1" si="259"/>
        <v>0.47493643695223042</v>
      </c>
      <c r="AH523" s="304">
        <f t="shared" ca="1" si="260"/>
        <v>-9.317992745596186</v>
      </c>
    </row>
    <row r="524" spans="1:34" x14ac:dyDescent="0.2">
      <c r="A524" s="347">
        <f t="shared" ca="1" si="238"/>
        <v>1E-4</v>
      </c>
      <c r="B524" s="304">
        <f t="shared" ca="1" si="239"/>
        <v>36.800400000000224</v>
      </c>
      <c r="D524" s="306">
        <f t="shared" ca="1" si="240"/>
        <v>-0.54946218496984034</v>
      </c>
      <c r="E524" s="307">
        <f t="shared" ca="1" si="241"/>
        <v>-0.50820343923088807</v>
      </c>
      <c r="F524" s="304">
        <f t="shared" ca="1" si="242"/>
        <v>0.74845135336769486</v>
      </c>
      <c r="G524" s="306">
        <f t="shared" ca="1" si="243"/>
        <v>6.2006337869247288</v>
      </c>
      <c r="H524" s="307">
        <f t="shared" ca="1" si="244"/>
        <v>-104.97096002953242</v>
      </c>
      <c r="I524" s="304">
        <f t="shared" ca="1" si="245"/>
        <v>105.15393625005792</v>
      </c>
      <c r="J524" s="306">
        <f t="shared" ca="1" si="246"/>
        <v>745.87074281998321</v>
      </c>
      <c r="K524" s="307">
        <f t="shared" ca="1" si="247"/>
        <v>-8.7100828206718184</v>
      </c>
      <c r="L524" s="304">
        <f t="shared" ca="1" si="232"/>
        <v>745.92159811710542</v>
      </c>
      <c r="M524" s="306">
        <f t="shared" ca="1" si="248"/>
        <v>-1.5117948947468984</v>
      </c>
      <c r="N524" s="304">
        <f t="shared" ca="1" si="249"/>
        <v>-86.619466958421796</v>
      </c>
      <c r="P524" s="310">
        <f t="shared" ca="1" si="250"/>
        <v>23</v>
      </c>
      <c r="Q524" s="304">
        <f t="shared" ca="1" si="251"/>
        <v>0</v>
      </c>
      <c r="R524" s="306">
        <f t="shared" ca="1" si="252"/>
        <v>0</v>
      </c>
      <c r="S524" s="307">
        <f t="shared" ca="1" si="253"/>
        <v>2.9792999999999985</v>
      </c>
      <c r="T524" s="304">
        <f t="shared" ca="1" si="233"/>
        <v>29.226932999999988</v>
      </c>
      <c r="U524" s="311">
        <f t="shared" ca="1" si="234"/>
        <v>0</v>
      </c>
      <c r="V524" s="306">
        <f t="shared" ca="1" si="235"/>
        <v>1.2260674500244384</v>
      </c>
      <c r="W524" s="304">
        <f t="shared" ca="1" si="236"/>
        <v>27.761204222534886</v>
      </c>
      <c r="Y524" s="314" t="str">
        <f t="shared" ca="1" si="254"/>
        <v/>
      </c>
      <c r="Z524" s="315" t="str">
        <f t="shared" ca="1" si="255"/>
        <v/>
      </c>
      <c r="AA524" s="316" t="str">
        <f t="shared" ca="1" si="256"/>
        <v/>
      </c>
      <c r="AC524" s="310" t="e">
        <f t="shared" ca="1" si="257"/>
        <v>#N/A</v>
      </c>
      <c r="AD524" s="323" t="e">
        <f t="shared" ca="1" si="258"/>
        <v>#N/A</v>
      </c>
      <c r="AE524" s="324" t="e">
        <f t="shared" ca="1" si="237"/>
        <v>#N/A</v>
      </c>
      <c r="AG524" s="306">
        <f t="shared" ca="1" si="259"/>
        <v>0.47491855688298834</v>
      </c>
      <c r="AH524" s="304">
        <f t="shared" ca="1" si="260"/>
        <v>-9.3180109439004166</v>
      </c>
    </row>
    <row r="525" spans="1:34" x14ac:dyDescent="0.2">
      <c r="A525" s="347">
        <f t="shared" ca="1" si="238"/>
        <v>1E-4</v>
      </c>
      <c r="B525" s="304">
        <f t="shared" ca="1" si="239"/>
        <v>36.800500000000227</v>
      </c>
      <c r="D525" s="306">
        <f t="shared" ca="1" si="240"/>
        <v>-0.54945814094460754</v>
      </c>
      <c r="E525" s="307">
        <f t="shared" ca="1" si="241"/>
        <v>-0.50818497060390122</v>
      </c>
      <c r="F525" s="304">
        <f t="shared" ca="1" si="242"/>
        <v>0.74843584427657672</v>
      </c>
      <c r="G525" s="306">
        <f t="shared" ca="1" si="243"/>
        <v>6.2005788411106346</v>
      </c>
      <c r="H525" s="307">
        <f t="shared" ca="1" si="244"/>
        <v>-104.97101084802948</v>
      </c>
      <c r="I525" s="304">
        <f t="shared" ca="1" si="245"/>
        <v>105.15398374014154</v>
      </c>
      <c r="J525" s="306">
        <f t="shared" ca="1" si="246"/>
        <v>745.87074281998321</v>
      </c>
      <c r="K525" s="307">
        <f t="shared" ca="1" si="247"/>
        <v>-8.7205799192156963</v>
      </c>
      <c r="L525" s="304">
        <f t="shared" ca="1" si="232"/>
        <v>745.92172076496126</v>
      </c>
      <c r="M525" s="306">
        <f t="shared" ca="1" si="248"/>
        <v>-1.5117954448623263</v>
      </c>
      <c r="N525" s="304">
        <f t="shared" ca="1" si="249"/>
        <v>-86.619498477714046</v>
      </c>
      <c r="P525" s="310">
        <f t="shared" ca="1" si="250"/>
        <v>23</v>
      </c>
      <c r="Q525" s="304">
        <f t="shared" ca="1" si="251"/>
        <v>0</v>
      </c>
      <c r="R525" s="306">
        <f t="shared" ca="1" si="252"/>
        <v>0</v>
      </c>
      <c r="S525" s="307">
        <f t="shared" ca="1" si="253"/>
        <v>2.9792999999999985</v>
      </c>
      <c r="T525" s="304">
        <f t="shared" ca="1" si="233"/>
        <v>29.226932999999988</v>
      </c>
      <c r="U525" s="311">
        <f t="shared" ca="1" si="234"/>
        <v>0</v>
      </c>
      <c r="V525" s="306">
        <f t="shared" ca="1" si="235"/>
        <v>1.2260687370404426</v>
      </c>
      <c r="W525" s="304">
        <f t="shared" ca="1" si="236"/>
        <v>27.76125843907186</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0.4749006770880797</v>
      </c>
      <c r="AH525" s="304">
        <f t="shared" ca="1" si="260"/>
        <v>-9.318029141924244</v>
      </c>
    </row>
    <row r="526" spans="1:34" x14ac:dyDescent="0.2">
      <c r="A526" s="347">
        <f t="shared" ca="1" si="238"/>
        <v>1E-4</v>
      </c>
      <c r="B526" s="304">
        <f t="shared" ca="1" si="239"/>
        <v>36.80060000000023</v>
      </c>
      <c r="D526" s="306">
        <f t="shared" ca="1" si="240"/>
        <v>-0.54945409693265523</v>
      </c>
      <c r="E526" s="307">
        <f t="shared" ca="1" si="241"/>
        <v>-0.50816650226141924</v>
      </c>
      <c r="F526" s="304">
        <f t="shared" ca="1" si="242"/>
        <v>0.74842033554459542</v>
      </c>
      <c r="G526" s="306">
        <f t="shared" ca="1" si="243"/>
        <v>6.2005238957009414</v>
      </c>
      <c r="H526" s="307">
        <f t="shared" ca="1" si="244"/>
        <v>-104.97106166467971</v>
      </c>
      <c r="I526" s="304">
        <f t="shared" ca="1" si="245"/>
        <v>105.1540312284372</v>
      </c>
      <c r="J526" s="306">
        <f t="shared" ca="1" si="246"/>
        <v>745.87074281998321</v>
      </c>
      <c r="K526" s="307">
        <f t="shared" ca="1" si="247"/>
        <v>-8.7310770228413315</v>
      </c>
      <c r="L526" s="304">
        <f t="shared" ca="1" si="232"/>
        <v>745.92184356057862</v>
      </c>
      <c r="M526" s="306">
        <f t="shared" ca="1" si="248"/>
        <v>-1.5117959949723827</v>
      </c>
      <c r="N526" s="304">
        <f t="shared" ca="1" si="249"/>
        <v>-86.619529996698546</v>
      </c>
      <c r="P526" s="310">
        <f t="shared" ca="1" si="250"/>
        <v>23</v>
      </c>
      <c r="Q526" s="304">
        <f t="shared" ca="1" si="251"/>
        <v>0</v>
      </c>
      <c r="R526" s="306">
        <f t="shared" ca="1" si="252"/>
        <v>0</v>
      </c>
      <c r="S526" s="307">
        <f t="shared" ca="1" si="253"/>
        <v>2.9792999999999985</v>
      </c>
      <c r="T526" s="304">
        <f t="shared" ca="1" si="233"/>
        <v>29.226932999999988</v>
      </c>
      <c r="U526" s="311">
        <f t="shared" ca="1" si="234"/>
        <v>0</v>
      </c>
      <c r="V526" s="306">
        <f t="shared" ca="1" si="235"/>
        <v>1.2260700240584215</v>
      </c>
      <c r="W526" s="304">
        <f t="shared" ca="1" si="236"/>
        <v>27.761312654773462</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0.47488279756750806</v>
      </c>
      <c r="AH526" s="304">
        <f t="shared" ca="1" si="260"/>
        <v>-9.3180473396676646</v>
      </c>
    </row>
    <row r="527" spans="1:34" x14ac:dyDescent="0.2">
      <c r="A527" s="347">
        <f t="shared" ca="1" si="238"/>
        <v>1E-4</v>
      </c>
      <c r="B527" s="304">
        <f t="shared" ca="1" si="239"/>
        <v>36.800700000000234</v>
      </c>
      <c r="D527" s="306">
        <f t="shared" ca="1" si="240"/>
        <v>-0.54945005293398086</v>
      </c>
      <c r="E527" s="307">
        <f t="shared" ca="1" si="241"/>
        <v>-0.50814803420342791</v>
      </c>
      <c r="F527" s="304">
        <f t="shared" ca="1" si="242"/>
        <v>0.74840482717174028</v>
      </c>
      <c r="G527" s="306">
        <f t="shared" ca="1" si="243"/>
        <v>6.2004689506956483</v>
      </c>
      <c r="H527" s="307">
        <f t="shared" ca="1" si="244"/>
        <v>-104.97111247948312</v>
      </c>
      <c r="I527" s="304">
        <f t="shared" ca="1" si="245"/>
        <v>105.15407871494496</v>
      </c>
      <c r="J527" s="306">
        <f t="shared" ca="1" si="246"/>
        <v>745.87074281998321</v>
      </c>
      <c r="K527" s="307">
        <f t="shared" ca="1" si="247"/>
        <v>-8.7415741315485391</v>
      </c>
      <c r="L527" s="304">
        <f t="shared" ca="1" si="232"/>
        <v>745.92196650395738</v>
      </c>
      <c r="M527" s="306">
        <f t="shared" ca="1" si="248"/>
        <v>-1.5117965450770676</v>
      </c>
      <c r="N527" s="304">
        <f t="shared" ca="1" si="249"/>
        <v>-86.619561515375281</v>
      </c>
      <c r="P527" s="310">
        <f t="shared" ca="1" si="250"/>
        <v>23</v>
      </c>
      <c r="Q527" s="304">
        <f t="shared" ca="1" si="251"/>
        <v>0</v>
      </c>
      <c r="R527" s="306">
        <f t="shared" ca="1" si="252"/>
        <v>0</v>
      </c>
      <c r="S527" s="307">
        <f t="shared" ca="1" si="253"/>
        <v>2.9792999999999985</v>
      </c>
      <c r="T527" s="304">
        <f t="shared" ca="1" si="233"/>
        <v>29.226932999999988</v>
      </c>
      <c r="U527" s="311">
        <f t="shared" ca="1" si="234"/>
        <v>0</v>
      </c>
      <c r="V527" s="306">
        <f t="shared" ca="1" si="235"/>
        <v>1.2260713110783754</v>
      </c>
      <c r="W527" s="304">
        <f t="shared" ca="1" si="236"/>
        <v>27.761366869639716</v>
      </c>
      <c r="Y527" s="314" t="str">
        <f t="shared" ca="1" si="254"/>
        <v/>
      </c>
      <c r="Z527" s="315" t="str">
        <f t="shared" ca="1" si="255"/>
        <v/>
      </c>
      <c r="AA527" s="316" t="str">
        <f t="shared" ca="1" si="256"/>
        <v/>
      </c>
      <c r="AC527" s="310" t="e">
        <f t="shared" ca="1" si="257"/>
        <v>#N/A</v>
      </c>
      <c r="AD527" s="323" t="e">
        <f t="shared" ca="1" si="258"/>
        <v>#N/A</v>
      </c>
      <c r="AE527" s="324" t="e">
        <f t="shared" ca="1" si="237"/>
        <v>#N/A</v>
      </c>
      <c r="AG527" s="306">
        <f t="shared" ca="1" si="259"/>
        <v>0.47486491832125388</v>
      </c>
      <c r="AH527" s="304">
        <f t="shared" ca="1" si="260"/>
        <v>-9.3180655371306944</v>
      </c>
    </row>
    <row r="528" spans="1:34" x14ac:dyDescent="0.2">
      <c r="A528" s="347">
        <f t="shared" ca="1" si="238"/>
        <v>1E-4</v>
      </c>
      <c r="B528" s="304">
        <f t="shared" ca="1" si="239"/>
        <v>36.800800000000237</v>
      </c>
      <c r="D528" s="306">
        <f t="shared" ca="1" si="240"/>
        <v>-0.54944600894858575</v>
      </c>
      <c r="E528" s="307">
        <f t="shared" ca="1" si="241"/>
        <v>-0.50812956642991658</v>
      </c>
      <c r="F528" s="304">
        <f t="shared" ca="1" si="242"/>
        <v>0.74838931915800644</v>
      </c>
      <c r="G528" s="306">
        <f t="shared" ca="1" si="243"/>
        <v>6.2004140060947535</v>
      </c>
      <c r="H528" s="307">
        <f t="shared" ca="1" si="244"/>
        <v>-104.97116329243977</v>
      </c>
      <c r="I528" s="304">
        <f t="shared" ca="1" si="245"/>
        <v>105.15412619966479</v>
      </c>
      <c r="J528" s="306">
        <f t="shared" ca="1" si="246"/>
        <v>745.87074281998321</v>
      </c>
      <c r="K528" s="307">
        <f t="shared" ca="1" si="247"/>
        <v>-8.7520712453371345</v>
      </c>
      <c r="L528" s="304">
        <f t="shared" ca="1" si="232"/>
        <v>745.92208959509776</v>
      </c>
      <c r="M528" s="306">
        <f t="shared" ca="1" si="248"/>
        <v>-1.5117970951763808</v>
      </c>
      <c r="N528" s="304">
        <f t="shared" ca="1" si="249"/>
        <v>-86.619593033744252</v>
      </c>
      <c r="P528" s="310">
        <f t="shared" ca="1" si="250"/>
        <v>23</v>
      </c>
      <c r="Q528" s="304">
        <f t="shared" ca="1" si="251"/>
        <v>0</v>
      </c>
      <c r="R528" s="306">
        <f t="shared" ca="1" si="252"/>
        <v>0</v>
      </c>
      <c r="S528" s="307">
        <f t="shared" ca="1" si="253"/>
        <v>2.9792999999999985</v>
      </c>
      <c r="T528" s="304">
        <f t="shared" ca="1" si="233"/>
        <v>29.226932999999988</v>
      </c>
      <c r="U528" s="311">
        <f t="shared" ca="1" si="234"/>
        <v>0</v>
      </c>
      <c r="V528" s="306">
        <f t="shared" ca="1" si="235"/>
        <v>1.2260725981003036</v>
      </c>
      <c r="W528" s="304">
        <f t="shared" ca="1" si="236"/>
        <v>27.761421083670573</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0.47484703934931538</v>
      </c>
      <c r="AH528" s="304">
        <f t="shared" ca="1" si="260"/>
        <v>-9.3180837343133387</v>
      </c>
    </row>
    <row r="529" spans="1:34" x14ac:dyDescent="0.2">
      <c r="A529" s="347">
        <f t="shared" ca="1" si="238"/>
        <v>1E-4</v>
      </c>
      <c r="B529" s="304">
        <f t="shared" ca="1" si="239"/>
        <v>36.80090000000024</v>
      </c>
      <c r="D529" s="306">
        <f t="shared" ca="1" si="240"/>
        <v>-0.54944196497647146</v>
      </c>
      <c r="E529" s="307">
        <f t="shared" ca="1" si="241"/>
        <v>-0.50811109894090478</v>
      </c>
      <c r="F529" s="304">
        <f t="shared" ca="1" si="242"/>
        <v>0.74837381150340898</v>
      </c>
      <c r="G529" s="306">
        <f t="shared" ca="1" si="243"/>
        <v>6.200359061898256</v>
      </c>
      <c r="H529" s="307">
        <f t="shared" ca="1" si="244"/>
        <v>-104.97121410354967</v>
      </c>
      <c r="I529" s="304">
        <f t="shared" ca="1" si="245"/>
        <v>105.15417368259678</v>
      </c>
      <c r="J529" s="306">
        <f t="shared" ca="1" si="246"/>
        <v>745.87074281998321</v>
      </c>
      <c r="K529" s="307">
        <f t="shared" ca="1" si="247"/>
        <v>-8.7625683642069347</v>
      </c>
      <c r="L529" s="304">
        <f t="shared" ca="1" si="232"/>
        <v>745.92221283399988</v>
      </c>
      <c r="M529" s="306">
        <f t="shared" ca="1" si="248"/>
        <v>-1.5117976452703228</v>
      </c>
      <c r="N529" s="304">
        <f t="shared" ca="1" si="249"/>
        <v>-86.619624551805458</v>
      </c>
      <c r="P529" s="310">
        <f t="shared" ca="1" si="250"/>
        <v>23</v>
      </c>
      <c r="Q529" s="304">
        <f t="shared" ca="1" si="251"/>
        <v>0</v>
      </c>
      <c r="R529" s="306">
        <f t="shared" ca="1" si="252"/>
        <v>0</v>
      </c>
      <c r="S529" s="307">
        <f t="shared" ca="1" si="253"/>
        <v>2.9792999999999985</v>
      </c>
      <c r="T529" s="304">
        <f t="shared" ca="1" si="233"/>
        <v>29.226932999999988</v>
      </c>
      <c r="U529" s="311">
        <f t="shared" ca="1" si="234"/>
        <v>0</v>
      </c>
      <c r="V529" s="306">
        <f t="shared" ca="1" si="235"/>
        <v>1.2260738851242063</v>
      </c>
      <c r="W529" s="304">
        <f t="shared" ca="1" si="236"/>
        <v>27.761475296866109</v>
      </c>
      <c r="Y529" s="314" t="str">
        <f t="shared" ca="1" si="254"/>
        <v/>
      </c>
      <c r="Z529" s="315" t="str">
        <f t="shared" ca="1" si="255"/>
        <v/>
      </c>
      <c r="AA529" s="316" t="str">
        <f t="shared" ca="1" si="256"/>
        <v/>
      </c>
      <c r="AC529" s="310" t="e">
        <f t="shared" ca="1" si="257"/>
        <v>#N/A</v>
      </c>
      <c r="AD529" s="323" t="e">
        <f t="shared" ca="1" si="258"/>
        <v>#N/A</v>
      </c>
      <c r="AE529" s="324" t="e">
        <f t="shared" ca="1" si="237"/>
        <v>#N/A</v>
      </c>
      <c r="AG529" s="306">
        <f t="shared" ca="1" si="259"/>
        <v>0.47482916065170677</v>
      </c>
      <c r="AH529" s="304">
        <f t="shared" ca="1" si="260"/>
        <v>-9.3181019312155833</v>
      </c>
    </row>
    <row r="530" spans="1:34" x14ac:dyDescent="0.2">
      <c r="A530" s="347">
        <f t="shared" ca="1" si="238"/>
        <v>1E-4</v>
      </c>
      <c r="B530" s="304">
        <f t="shared" ca="1" si="239"/>
        <v>36.801000000000244</v>
      </c>
      <c r="D530" s="306">
        <f t="shared" ca="1" si="240"/>
        <v>-0.54943792101763655</v>
      </c>
      <c r="E530" s="307">
        <f t="shared" ca="1" si="241"/>
        <v>-0.50809263173636587</v>
      </c>
      <c r="F530" s="304">
        <f t="shared" ca="1" si="242"/>
        <v>0.74835830420793015</v>
      </c>
      <c r="G530" s="306">
        <f t="shared" ca="1" si="243"/>
        <v>6.2003041181061542</v>
      </c>
      <c r="H530" s="307">
        <f t="shared" ca="1" si="244"/>
        <v>-104.97126491281284</v>
      </c>
      <c r="I530" s="304">
        <f t="shared" ca="1" si="245"/>
        <v>105.15422116374091</v>
      </c>
      <c r="J530" s="306">
        <f t="shared" ca="1" si="246"/>
        <v>745.87074281998321</v>
      </c>
      <c r="K530" s="307">
        <f t="shared" ca="1" si="247"/>
        <v>-8.7730654881577532</v>
      </c>
      <c r="L530" s="304">
        <f t="shared" ca="1" si="232"/>
        <v>745.92233622066385</v>
      </c>
      <c r="M530" s="306">
        <f t="shared" ca="1" si="248"/>
        <v>-1.5117981953588933</v>
      </c>
      <c r="N530" s="304">
        <f t="shared" ca="1" si="249"/>
        <v>-86.6196560695589</v>
      </c>
      <c r="P530" s="310">
        <f t="shared" ca="1" si="250"/>
        <v>23</v>
      </c>
      <c r="Q530" s="304">
        <f t="shared" ca="1" si="251"/>
        <v>0</v>
      </c>
      <c r="R530" s="306">
        <f t="shared" ca="1" si="252"/>
        <v>0</v>
      </c>
      <c r="S530" s="307">
        <f t="shared" ca="1" si="253"/>
        <v>2.9792999999999985</v>
      </c>
      <c r="T530" s="304">
        <f t="shared" ca="1" si="233"/>
        <v>29.226932999999988</v>
      </c>
      <c r="U530" s="311">
        <f t="shared" ca="1" si="234"/>
        <v>0</v>
      </c>
      <c r="V530" s="306">
        <f t="shared" ca="1" si="235"/>
        <v>1.2260751721500835</v>
      </c>
      <c r="W530" s="304">
        <f t="shared" ca="1" si="236"/>
        <v>27.761529509226285</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0.47481128222840319</v>
      </c>
      <c r="AH530" s="304">
        <f t="shared" ca="1" si="260"/>
        <v>-9.318120127837453</v>
      </c>
    </row>
    <row r="531" spans="1:34" x14ac:dyDescent="0.2">
      <c r="A531" s="347">
        <f t="shared" ca="1" si="238"/>
        <v>1E-4</v>
      </c>
      <c r="B531" s="304">
        <f t="shared" ca="1" si="239"/>
        <v>36.801100000000247</v>
      </c>
      <c r="D531" s="306">
        <f t="shared" ca="1" si="240"/>
        <v>-0.54943387707208269</v>
      </c>
      <c r="E531" s="307">
        <f t="shared" ca="1" si="241"/>
        <v>-0.50807416481631407</v>
      </c>
      <c r="F531" s="304">
        <f t="shared" ca="1" si="242"/>
        <v>0.74834279727158159</v>
      </c>
      <c r="G531" s="306">
        <f t="shared" ca="1" si="243"/>
        <v>6.2002491747184472</v>
      </c>
      <c r="H531" s="307">
        <f t="shared" ca="1" si="244"/>
        <v>-104.97131572022933</v>
      </c>
      <c r="I531" s="304">
        <f t="shared" ca="1" si="245"/>
        <v>105.15426864309723</v>
      </c>
      <c r="J531" s="306">
        <f t="shared" ca="1" si="246"/>
        <v>745.87074281998321</v>
      </c>
      <c r="K531" s="307">
        <f t="shared" ca="1" si="247"/>
        <v>-8.7835626171894052</v>
      </c>
      <c r="L531" s="304">
        <f t="shared" ca="1" si="232"/>
        <v>745.92245975508979</v>
      </c>
      <c r="M531" s="306">
        <f t="shared" ca="1" si="248"/>
        <v>-1.5117987454420925</v>
      </c>
      <c r="N531" s="304">
        <f t="shared" ca="1" si="249"/>
        <v>-86.619687587004606</v>
      </c>
      <c r="P531" s="310">
        <f t="shared" ca="1" si="250"/>
        <v>23</v>
      </c>
      <c r="Q531" s="304">
        <f t="shared" ca="1" si="251"/>
        <v>0</v>
      </c>
      <c r="R531" s="306">
        <f t="shared" ca="1" si="252"/>
        <v>0</v>
      </c>
      <c r="S531" s="307">
        <f t="shared" ca="1" si="253"/>
        <v>2.9792999999999985</v>
      </c>
      <c r="T531" s="304">
        <f t="shared" ca="1" si="233"/>
        <v>29.226932999999988</v>
      </c>
      <c r="U531" s="311">
        <f t="shared" ca="1" si="234"/>
        <v>0</v>
      </c>
      <c r="V531" s="306">
        <f t="shared" ca="1" si="235"/>
        <v>1.2260764591779358</v>
      </c>
      <c r="W531" s="304">
        <f t="shared" ca="1" si="236"/>
        <v>27.76158372075114</v>
      </c>
      <c r="Y531" s="314" t="str">
        <f t="shared" ca="1" si="254"/>
        <v/>
      </c>
      <c r="Z531" s="315" t="str">
        <f t="shared" ca="1" si="255"/>
        <v/>
      </c>
      <c r="AA531" s="316" t="str">
        <f t="shared" ca="1" si="256"/>
        <v/>
      </c>
      <c r="AC531" s="310" t="e">
        <f t="shared" ca="1" si="257"/>
        <v>#N/A</v>
      </c>
      <c r="AD531" s="323" t="e">
        <f t="shared" ca="1" si="258"/>
        <v>#N/A</v>
      </c>
      <c r="AE531" s="324" t="e">
        <f t="shared" ca="1" si="237"/>
        <v>#N/A</v>
      </c>
      <c r="AG531" s="306">
        <f t="shared" ca="1" si="259"/>
        <v>0.47479340407941706</v>
      </c>
      <c r="AH531" s="304">
        <f t="shared" ca="1" si="260"/>
        <v>-9.3181383241789337</v>
      </c>
    </row>
    <row r="532" spans="1:34" x14ac:dyDescent="0.2">
      <c r="A532" s="347">
        <f t="shared" ca="1" si="238"/>
        <v>1E-4</v>
      </c>
      <c r="B532" s="304">
        <f t="shared" ca="1" si="239"/>
        <v>36.80120000000025</v>
      </c>
      <c r="D532" s="306">
        <f t="shared" ca="1" si="240"/>
        <v>-0.54942983313980953</v>
      </c>
      <c r="E532" s="307">
        <f t="shared" ca="1" si="241"/>
        <v>-0.5080556981807316</v>
      </c>
      <c r="F532" s="304">
        <f t="shared" ca="1" si="242"/>
        <v>0.74832729069435222</v>
      </c>
      <c r="G532" s="306">
        <f t="shared" ca="1" si="243"/>
        <v>6.2001942317351331</v>
      </c>
      <c r="H532" s="307">
        <f t="shared" ca="1" si="244"/>
        <v>-104.97136652579914</v>
      </c>
      <c r="I532" s="304">
        <f t="shared" ca="1" si="245"/>
        <v>105.15431612066575</v>
      </c>
      <c r="J532" s="306">
        <f t="shared" ca="1" si="246"/>
        <v>745.87074281998321</v>
      </c>
      <c r="K532" s="307">
        <f t="shared" ca="1" si="247"/>
        <v>-8.794059751301706</v>
      </c>
      <c r="L532" s="304">
        <f t="shared" ca="1" si="232"/>
        <v>745.92258343727804</v>
      </c>
      <c r="M532" s="306">
        <f t="shared" ca="1" si="248"/>
        <v>-1.5117992955199204</v>
      </c>
      <c r="N532" s="304">
        <f t="shared" ca="1" si="249"/>
        <v>-86.619719104142547</v>
      </c>
      <c r="P532" s="310">
        <f t="shared" ca="1" si="250"/>
        <v>23</v>
      </c>
      <c r="Q532" s="304">
        <f t="shared" ca="1" si="251"/>
        <v>0</v>
      </c>
      <c r="R532" s="306">
        <f t="shared" ca="1" si="252"/>
        <v>0</v>
      </c>
      <c r="S532" s="307">
        <f t="shared" ca="1" si="253"/>
        <v>2.9792999999999985</v>
      </c>
      <c r="T532" s="304">
        <f t="shared" ca="1" si="233"/>
        <v>29.226932999999988</v>
      </c>
      <c r="U532" s="311">
        <f t="shared" ca="1" si="234"/>
        <v>0</v>
      </c>
      <c r="V532" s="306">
        <f t="shared" ca="1" si="235"/>
        <v>1.2260777462077619</v>
      </c>
      <c r="W532" s="304">
        <f t="shared" ca="1" si="236"/>
        <v>27.761637931440664</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0.47477552620473418</v>
      </c>
      <c r="AH532" s="304">
        <f t="shared" ca="1" si="260"/>
        <v>-9.3181565202400414</v>
      </c>
    </row>
    <row r="533" spans="1:34" x14ac:dyDescent="0.2">
      <c r="A533" s="347">
        <f t="shared" ca="1" si="238"/>
        <v>1E-4</v>
      </c>
      <c r="B533" s="304">
        <f t="shared" ca="1" si="239"/>
        <v>36.801300000000253</v>
      </c>
      <c r="D533" s="306">
        <f t="shared" ca="1" si="240"/>
        <v>-0.54942578922081764</v>
      </c>
      <c r="E533" s="307">
        <f t="shared" ca="1" si="241"/>
        <v>-0.50803723182962734</v>
      </c>
      <c r="F533" s="304">
        <f t="shared" ca="1" si="242"/>
        <v>0.74831178447624946</v>
      </c>
      <c r="G533" s="306">
        <f t="shared" ca="1" si="243"/>
        <v>6.200139289156211</v>
      </c>
      <c r="H533" s="307">
        <f t="shared" ca="1" si="244"/>
        <v>-104.97141732952232</v>
      </c>
      <c r="I533" s="304">
        <f t="shared" ca="1" si="245"/>
        <v>105.15436359644652</v>
      </c>
      <c r="J533" s="306">
        <f t="shared" ca="1" si="246"/>
        <v>745.87074281998321</v>
      </c>
      <c r="K533" s="307">
        <f t="shared" ca="1" si="247"/>
        <v>-8.8045568904944727</v>
      </c>
      <c r="L533" s="304">
        <f t="shared" ca="1" si="232"/>
        <v>745.92270726722847</v>
      </c>
      <c r="M533" s="306">
        <f t="shared" ca="1" si="248"/>
        <v>-1.5117998455923771</v>
      </c>
      <c r="N533" s="304">
        <f t="shared" ca="1" si="249"/>
        <v>-86.619750620972738</v>
      </c>
      <c r="P533" s="310">
        <f t="shared" ca="1" si="250"/>
        <v>23</v>
      </c>
      <c r="Q533" s="304">
        <f t="shared" ca="1" si="251"/>
        <v>0</v>
      </c>
      <c r="R533" s="306">
        <f t="shared" ca="1" si="252"/>
        <v>0</v>
      </c>
      <c r="S533" s="307">
        <f t="shared" ca="1" si="253"/>
        <v>2.9792999999999985</v>
      </c>
      <c r="T533" s="304">
        <f t="shared" ca="1" si="233"/>
        <v>29.226932999999988</v>
      </c>
      <c r="U533" s="311">
        <f t="shared" ca="1" si="234"/>
        <v>0</v>
      </c>
      <c r="V533" s="306">
        <f t="shared" ca="1" si="235"/>
        <v>1.2260790332395628</v>
      </c>
      <c r="W533" s="304">
        <f t="shared" ca="1" si="236"/>
        <v>27.761692141294866</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0.47475764860435987</v>
      </c>
      <c r="AH533" s="304">
        <f t="shared" ca="1" si="260"/>
        <v>-9.3181747160207689</v>
      </c>
    </row>
    <row r="534" spans="1:34" x14ac:dyDescent="0.2">
      <c r="A534" s="347">
        <f t="shared" ca="1" si="238"/>
        <v>1E-4</v>
      </c>
      <c r="B534" s="304">
        <f t="shared" ca="1" si="239"/>
        <v>36.801400000000257</v>
      </c>
      <c r="D534" s="306">
        <f t="shared" ca="1" si="240"/>
        <v>-0.5494217453151079</v>
      </c>
      <c r="E534" s="307">
        <f t="shared" ca="1" si="241"/>
        <v>-0.50801876576299598</v>
      </c>
      <c r="F534" s="304">
        <f t="shared" ca="1" si="242"/>
        <v>0.74829627861727133</v>
      </c>
      <c r="G534" s="306">
        <f t="shared" ca="1" si="243"/>
        <v>6.2000843469816793</v>
      </c>
      <c r="H534" s="307">
        <f t="shared" ca="1" si="244"/>
        <v>-104.97146813139891</v>
      </c>
      <c r="I534" s="304">
        <f t="shared" ca="1" si="245"/>
        <v>105.15441107043956</v>
      </c>
      <c r="J534" s="306">
        <f t="shared" ca="1" si="246"/>
        <v>745.87074281998321</v>
      </c>
      <c r="K534" s="307">
        <f t="shared" ca="1" si="247"/>
        <v>-8.8150540347675186</v>
      </c>
      <c r="L534" s="304">
        <f t="shared" ca="1" si="232"/>
        <v>745.92283124494145</v>
      </c>
      <c r="M534" s="306">
        <f t="shared" ca="1" si="248"/>
        <v>-1.511800395659463</v>
      </c>
      <c r="N534" s="304">
        <f t="shared" ca="1" si="249"/>
        <v>-86.619782137495207</v>
      </c>
      <c r="P534" s="310">
        <f t="shared" ca="1" si="250"/>
        <v>23</v>
      </c>
      <c r="Q534" s="304">
        <f t="shared" ca="1" si="251"/>
        <v>0</v>
      </c>
      <c r="R534" s="306">
        <f t="shared" ca="1" si="252"/>
        <v>0</v>
      </c>
      <c r="S534" s="307">
        <f t="shared" ca="1" si="253"/>
        <v>2.9792999999999985</v>
      </c>
      <c r="T534" s="304">
        <f t="shared" ca="1" si="233"/>
        <v>29.226932999999988</v>
      </c>
      <c r="U534" s="311">
        <f t="shared" ca="1" si="234"/>
        <v>0</v>
      </c>
      <c r="V534" s="306">
        <f t="shared" ca="1" si="235"/>
        <v>1.2260803202733381</v>
      </c>
      <c r="W534" s="304">
        <f t="shared" ca="1" si="236"/>
        <v>27.761746350313786</v>
      </c>
      <c r="Y534" s="314" t="str">
        <f t="shared" ca="1" si="254"/>
        <v/>
      </c>
      <c r="Z534" s="315" t="str">
        <f t="shared" ca="1" si="255"/>
        <v/>
      </c>
      <c r="AA534" s="316" t="str">
        <f t="shared" ca="1" si="256"/>
        <v/>
      </c>
      <c r="AC534" s="310" t="e">
        <f t="shared" ca="1" si="257"/>
        <v>#N/A</v>
      </c>
      <c r="AD534" s="323" t="e">
        <f t="shared" ca="1" si="258"/>
        <v>#N/A</v>
      </c>
      <c r="AE534" s="324" t="e">
        <f t="shared" ca="1" si="237"/>
        <v>#N/A</v>
      </c>
      <c r="AG534" s="306">
        <f t="shared" ca="1" si="259"/>
        <v>0.47473977127829237</v>
      </c>
      <c r="AH534" s="304">
        <f t="shared" ca="1" si="260"/>
        <v>-9.3181929115211215</v>
      </c>
    </row>
    <row r="535" spans="1:34" x14ac:dyDescent="0.2">
      <c r="A535" s="347">
        <f t="shared" ca="1" si="238"/>
        <v>1E-4</v>
      </c>
      <c r="B535" s="304">
        <f t="shared" ca="1" si="239"/>
        <v>36.80150000000026</v>
      </c>
      <c r="D535" s="306">
        <f t="shared" ca="1" si="240"/>
        <v>-0.54941770142267787</v>
      </c>
      <c r="E535" s="307">
        <f t="shared" ca="1" si="241"/>
        <v>-0.5080002999808233</v>
      </c>
      <c r="F535" s="304">
        <f t="shared" ca="1" si="242"/>
        <v>0.74828077311740759</v>
      </c>
      <c r="G535" s="306">
        <f t="shared" ca="1" si="243"/>
        <v>6.200029405211537</v>
      </c>
      <c r="H535" s="307">
        <f t="shared" ca="1" si="244"/>
        <v>-104.9715189314289</v>
      </c>
      <c r="I535" s="304">
        <f t="shared" ca="1" si="245"/>
        <v>105.15445854264489</v>
      </c>
      <c r="J535" s="306">
        <f t="shared" ca="1" si="246"/>
        <v>745.87074281998321</v>
      </c>
      <c r="K535" s="307">
        <f t="shared" ca="1" si="247"/>
        <v>-8.8255511841206609</v>
      </c>
      <c r="L535" s="304">
        <f t="shared" ca="1" si="232"/>
        <v>745.92295537041696</v>
      </c>
      <c r="M535" s="306">
        <f t="shared" ca="1" si="248"/>
        <v>-1.5118009457211776</v>
      </c>
      <c r="N535" s="304">
        <f t="shared" ca="1" si="249"/>
        <v>-86.619813653709926</v>
      </c>
      <c r="P535" s="310">
        <f t="shared" ca="1" si="250"/>
        <v>23</v>
      </c>
      <c r="Q535" s="304">
        <f t="shared" ca="1" si="251"/>
        <v>0</v>
      </c>
      <c r="R535" s="306">
        <f t="shared" ca="1" si="252"/>
        <v>0</v>
      </c>
      <c r="S535" s="307">
        <f t="shared" ca="1" si="253"/>
        <v>2.9792999999999985</v>
      </c>
      <c r="T535" s="304">
        <f t="shared" ca="1" si="233"/>
        <v>29.226932999999988</v>
      </c>
      <c r="U535" s="311">
        <f t="shared" ca="1" si="234"/>
        <v>0</v>
      </c>
      <c r="V535" s="306">
        <f t="shared" ca="1" si="235"/>
        <v>1.2260816073090881</v>
      </c>
      <c r="W535" s="304">
        <f t="shared" ca="1" si="236"/>
        <v>27.761800558497402</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0.47472189422651567</v>
      </c>
      <c r="AH535" s="304">
        <f t="shared" ca="1" si="260"/>
        <v>-9.3182111067411135</v>
      </c>
    </row>
    <row r="536" spans="1:34" x14ac:dyDescent="0.2">
      <c r="A536" s="347">
        <f t="shared" ca="1" si="238"/>
        <v>1E-4</v>
      </c>
      <c r="B536" s="304">
        <f t="shared" ca="1" si="239"/>
        <v>36.801600000000263</v>
      </c>
      <c r="D536" s="306">
        <f t="shared" ca="1" si="240"/>
        <v>-0.54941365754353189</v>
      </c>
      <c r="E536" s="307">
        <f t="shared" ca="1" si="241"/>
        <v>-0.5079818344831164</v>
      </c>
      <c r="F536" s="304">
        <f t="shared" ca="1" si="242"/>
        <v>0.74826526797666726</v>
      </c>
      <c r="G536" s="306">
        <f t="shared" ca="1" si="243"/>
        <v>6.1999744638457823</v>
      </c>
      <c r="H536" s="307">
        <f t="shared" ca="1" si="244"/>
        <v>-104.97156972961236</v>
      </c>
      <c r="I536" s="304">
        <f t="shared" ca="1" si="245"/>
        <v>105.15450601306256</v>
      </c>
      <c r="J536" s="306">
        <f t="shared" ca="1" si="246"/>
        <v>745.87074281998321</v>
      </c>
      <c r="K536" s="307">
        <f t="shared" ca="1" si="247"/>
        <v>-8.836048338553713</v>
      </c>
      <c r="L536" s="304">
        <f t="shared" ca="1" si="232"/>
        <v>745.92307964365523</v>
      </c>
      <c r="M536" s="306">
        <f t="shared" ca="1" si="248"/>
        <v>-1.5118014957775212</v>
      </c>
      <c r="N536" s="304">
        <f t="shared" ca="1" si="249"/>
        <v>-86.619845169616909</v>
      </c>
      <c r="P536" s="310">
        <f t="shared" ca="1" si="250"/>
        <v>23</v>
      </c>
      <c r="Q536" s="304">
        <f t="shared" ca="1" si="251"/>
        <v>0</v>
      </c>
      <c r="R536" s="306">
        <f t="shared" ca="1" si="252"/>
        <v>0</v>
      </c>
      <c r="S536" s="307">
        <f t="shared" ca="1" si="253"/>
        <v>2.9792999999999985</v>
      </c>
      <c r="T536" s="304">
        <f t="shared" ca="1" si="233"/>
        <v>29.226932999999988</v>
      </c>
      <c r="U536" s="311">
        <f t="shared" ca="1" si="234"/>
        <v>0</v>
      </c>
      <c r="V536" s="306">
        <f t="shared" ca="1" si="235"/>
        <v>1.2260828943468127</v>
      </c>
      <c r="W536" s="304">
        <f t="shared" ca="1" si="236"/>
        <v>27.761854765845751</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0.47470401744903867</v>
      </c>
      <c r="AH536" s="304">
        <f t="shared" ca="1" si="260"/>
        <v>-9.318229301680736</v>
      </c>
    </row>
    <row r="537" spans="1:34" x14ac:dyDescent="0.2">
      <c r="A537" s="347">
        <f t="shared" ca="1" si="238"/>
        <v>1E-4</v>
      </c>
      <c r="B537" s="304">
        <f t="shared" ca="1" si="239"/>
        <v>36.801700000000267</v>
      </c>
      <c r="D537" s="306">
        <f t="shared" ca="1" si="240"/>
        <v>-0.54940961367766938</v>
      </c>
      <c r="E537" s="307">
        <f t="shared" ca="1" si="241"/>
        <v>-0.50796336926986463</v>
      </c>
      <c r="F537" s="304">
        <f t="shared" ca="1" si="242"/>
        <v>0.74824976319504355</v>
      </c>
      <c r="G537" s="306">
        <f t="shared" ca="1" si="243"/>
        <v>6.1999195228844144</v>
      </c>
      <c r="H537" s="307">
        <f t="shared" ca="1" si="244"/>
        <v>-104.97162052594928</v>
      </c>
      <c r="I537" s="304">
        <f t="shared" ca="1" si="245"/>
        <v>105.15455348169255</v>
      </c>
      <c r="J537" s="306">
        <f t="shared" ca="1" si="246"/>
        <v>745.87074281998321</v>
      </c>
      <c r="K537" s="307">
        <f t="shared" ca="1" si="247"/>
        <v>-8.8465454980664919</v>
      </c>
      <c r="L537" s="304">
        <f t="shared" ca="1" si="232"/>
        <v>745.92320406465626</v>
      </c>
      <c r="M537" s="306">
        <f t="shared" ca="1" si="248"/>
        <v>-1.511802045828494</v>
      </c>
      <c r="N537" s="304">
        <f t="shared" ca="1" si="249"/>
        <v>-86.61987668521617</v>
      </c>
      <c r="P537" s="310">
        <f t="shared" ca="1" si="250"/>
        <v>23</v>
      </c>
      <c r="Q537" s="304">
        <f t="shared" ca="1" si="251"/>
        <v>0</v>
      </c>
      <c r="R537" s="306">
        <f t="shared" ca="1" si="252"/>
        <v>0</v>
      </c>
      <c r="S537" s="307">
        <f t="shared" ca="1" si="253"/>
        <v>2.9792999999999985</v>
      </c>
      <c r="T537" s="304">
        <f t="shared" ca="1" si="233"/>
        <v>29.226932999999988</v>
      </c>
      <c r="U537" s="311">
        <f t="shared" ca="1" si="234"/>
        <v>0</v>
      </c>
      <c r="V537" s="306">
        <f t="shared" ca="1" si="235"/>
        <v>1.2260841813865113</v>
      </c>
      <c r="W537" s="304">
        <f t="shared" ca="1" si="236"/>
        <v>27.761908972358807</v>
      </c>
      <c r="Y537" s="314" t="str">
        <f t="shared" ca="1" si="254"/>
        <v/>
      </c>
      <c r="Z537" s="315" t="str">
        <f t="shared" ca="1" si="255"/>
        <v/>
      </c>
      <c r="AA537" s="316" t="str">
        <f t="shared" ca="1" si="256"/>
        <v/>
      </c>
      <c r="AC537" s="310" t="e">
        <f t="shared" ca="1" si="257"/>
        <v>#N/A</v>
      </c>
      <c r="AD537" s="323" t="e">
        <f t="shared" ca="1" si="258"/>
        <v>#N/A</v>
      </c>
      <c r="AE537" s="324" t="e">
        <f t="shared" ca="1" si="237"/>
        <v>#N/A</v>
      </c>
      <c r="AG537" s="306">
        <f t="shared" ca="1" si="259"/>
        <v>0.47468614094584716</v>
      </c>
      <c r="AH537" s="304">
        <f t="shared" ca="1" si="260"/>
        <v>-9.3182474963400015</v>
      </c>
    </row>
    <row r="538" spans="1:34" x14ac:dyDescent="0.2">
      <c r="A538" s="347">
        <f t="shared" ca="1" si="238"/>
        <v>1E-4</v>
      </c>
      <c r="B538" s="304">
        <f t="shared" ca="1" si="239"/>
        <v>36.80180000000027</v>
      </c>
      <c r="D538" s="306">
        <f t="shared" ca="1" si="240"/>
        <v>-0.54940556982508848</v>
      </c>
      <c r="E538" s="307">
        <f t="shared" ca="1" si="241"/>
        <v>-0.50794490434107509</v>
      </c>
      <c r="F538" s="304">
        <f t="shared" ca="1" si="242"/>
        <v>0.74823425877254124</v>
      </c>
      <c r="G538" s="306">
        <f t="shared" ca="1" si="243"/>
        <v>6.1998645823274323</v>
      </c>
      <c r="H538" s="307">
        <f t="shared" ca="1" si="244"/>
        <v>-104.97167132043971</v>
      </c>
      <c r="I538" s="304">
        <f t="shared" ca="1" si="245"/>
        <v>105.15460094853492</v>
      </c>
      <c r="J538" s="306">
        <f t="shared" ca="1" si="246"/>
        <v>745.87074281998321</v>
      </c>
      <c r="K538" s="307">
        <f t="shared" ca="1" si="247"/>
        <v>-8.8570426626588112</v>
      </c>
      <c r="L538" s="304">
        <f t="shared" ca="1" si="232"/>
        <v>745.9233286334204</v>
      </c>
      <c r="M538" s="306">
        <f t="shared" ca="1" si="248"/>
        <v>-1.5118025958740957</v>
      </c>
      <c r="N538" s="304">
        <f t="shared" ca="1" si="249"/>
        <v>-86.61990820050768</v>
      </c>
      <c r="P538" s="310">
        <f t="shared" ca="1" si="250"/>
        <v>23</v>
      </c>
      <c r="Q538" s="304">
        <f t="shared" ca="1" si="251"/>
        <v>0</v>
      </c>
      <c r="R538" s="306">
        <f t="shared" ca="1" si="252"/>
        <v>0</v>
      </c>
      <c r="S538" s="307">
        <f t="shared" ca="1" si="253"/>
        <v>2.9792999999999985</v>
      </c>
      <c r="T538" s="304">
        <f t="shared" ca="1" si="233"/>
        <v>29.226932999999988</v>
      </c>
      <c r="U538" s="311">
        <f t="shared" ca="1" si="234"/>
        <v>0</v>
      </c>
      <c r="V538" s="306">
        <f t="shared" ca="1" si="235"/>
        <v>1.2260854684281846</v>
      </c>
      <c r="W538" s="304">
        <f t="shared" ca="1" si="236"/>
        <v>27.761963178036602</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0.47466826471695356</v>
      </c>
      <c r="AH538" s="304">
        <f t="shared" ca="1" si="260"/>
        <v>-9.318265690718901</v>
      </c>
    </row>
    <row r="539" spans="1:34" x14ac:dyDescent="0.2">
      <c r="A539" s="347">
        <f t="shared" ca="1" si="238"/>
        <v>1E-4</v>
      </c>
      <c r="B539" s="304">
        <f t="shared" ca="1" si="239"/>
        <v>36.801900000000273</v>
      </c>
      <c r="D539" s="306">
        <f t="shared" ca="1" si="240"/>
        <v>-0.54940152598579262</v>
      </c>
      <c r="E539" s="307">
        <f t="shared" ca="1" si="241"/>
        <v>-0.5079264396967389</v>
      </c>
      <c r="F539" s="304">
        <f t="shared" ca="1" si="242"/>
        <v>0.74821875470915755</v>
      </c>
      <c r="G539" s="306">
        <f t="shared" ca="1" si="243"/>
        <v>6.1998096421748334</v>
      </c>
      <c r="H539" s="307">
        <f t="shared" ca="1" si="244"/>
        <v>-104.97172211308369</v>
      </c>
      <c r="I539" s="304">
        <f t="shared" ca="1" si="245"/>
        <v>105.15464841358973</v>
      </c>
      <c r="J539" s="306">
        <f t="shared" ca="1" si="246"/>
        <v>745.87074281998321</v>
      </c>
      <c r="K539" s="307">
        <f t="shared" ca="1" si="247"/>
        <v>-8.8675398323304879</v>
      </c>
      <c r="L539" s="304">
        <f t="shared" ca="1" si="232"/>
        <v>745.92345334994764</v>
      </c>
      <c r="M539" s="306">
        <f t="shared" ca="1" si="248"/>
        <v>-1.5118031459143269</v>
      </c>
      <c r="N539" s="304">
        <f t="shared" ca="1" si="249"/>
        <v>-86.619939715491498</v>
      </c>
      <c r="P539" s="310">
        <f t="shared" ca="1" si="250"/>
        <v>23</v>
      </c>
      <c r="Q539" s="304">
        <f t="shared" ca="1" si="251"/>
        <v>0</v>
      </c>
      <c r="R539" s="306">
        <f t="shared" ca="1" si="252"/>
        <v>0</v>
      </c>
      <c r="S539" s="307">
        <f t="shared" ca="1" si="253"/>
        <v>2.9792999999999985</v>
      </c>
      <c r="T539" s="304">
        <f t="shared" ca="1" si="233"/>
        <v>29.226932999999988</v>
      </c>
      <c r="U539" s="311">
        <f t="shared" ca="1" si="234"/>
        <v>0</v>
      </c>
      <c r="V539" s="306">
        <f t="shared" ca="1" si="235"/>
        <v>1.2260867554718327</v>
      </c>
      <c r="W539" s="304">
        <f t="shared" ca="1" si="236"/>
        <v>27.762017382879186</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0.47465038876234544</v>
      </c>
      <c r="AH539" s="304">
        <f t="shared" ca="1" si="260"/>
        <v>-9.3182838848174452</v>
      </c>
    </row>
    <row r="540" spans="1:34" x14ac:dyDescent="0.2">
      <c r="A540" s="347">
        <f t="shared" ca="1" si="238"/>
        <v>1E-4</v>
      </c>
      <c r="B540" s="304">
        <f t="shared" ca="1" si="239"/>
        <v>36.802000000000277</v>
      </c>
      <c r="D540" s="306">
        <f t="shared" ca="1" si="240"/>
        <v>-0.54939748215977968</v>
      </c>
      <c r="E540" s="307">
        <f t="shared" ca="1" si="241"/>
        <v>-0.50790797533683651</v>
      </c>
      <c r="F540" s="304">
        <f t="shared" ca="1" si="242"/>
        <v>0.74820325100487906</v>
      </c>
      <c r="G540" s="306">
        <f t="shared" ca="1" si="243"/>
        <v>6.1997547024266177</v>
      </c>
      <c r="H540" s="307">
        <f t="shared" ca="1" si="244"/>
        <v>-104.97177290388122</v>
      </c>
      <c r="I540" s="304">
        <f t="shared" ca="1" si="245"/>
        <v>105.15469587685692</v>
      </c>
      <c r="J540" s="306">
        <f t="shared" ca="1" si="246"/>
        <v>745.87074281998321</v>
      </c>
      <c r="K540" s="307">
        <f t="shared" ca="1" si="247"/>
        <v>-8.8780370070813355</v>
      </c>
      <c r="L540" s="304">
        <f t="shared" ca="1" si="232"/>
        <v>745.9235782142382</v>
      </c>
      <c r="M540" s="306">
        <f t="shared" ca="1" si="248"/>
        <v>-1.5118036959491872</v>
      </c>
      <c r="N540" s="304">
        <f t="shared" ca="1" si="249"/>
        <v>-86.619971230167579</v>
      </c>
      <c r="P540" s="310">
        <f t="shared" ca="1" si="250"/>
        <v>23</v>
      </c>
      <c r="Q540" s="304">
        <f t="shared" ca="1" si="251"/>
        <v>0</v>
      </c>
      <c r="R540" s="306">
        <f t="shared" ca="1" si="252"/>
        <v>0</v>
      </c>
      <c r="S540" s="307">
        <f t="shared" ca="1" si="253"/>
        <v>2.9792999999999985</v>
      </c>
      <c r="T540" s="304">
        <f t="shared" ca="1" si="233"/>
        <v>29.226932999999988</v>
      </c>
      <c r="U540" s="311">
        <f t="shared" ca="1" si="234"/>
        <v>0</v>
      </c>
      <c r="V540" s="306">
        <f t="shared" ca="1" si="235"/>
        <v>1.2260880425174543</v>
      </c>
      <c r="W540" s="304">
        <f t="shared" ca="1" si="236"/>
        <v>27.762071586886467</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0.47463251308200505</v>
      </c>
      <c r="AH540" s="304">
        <f t="shared" ca="1" si="260"/>
        <v>-9.3183020786356536</v>
      </c>
    </row>
    <row r="541" spans="1:34" x14ac:dyDescent="0.2">
      <c r="A541" s="347">
        <f t="shared" ca="1" si="238"/>
        <v>1E-4</v>
      </c>
      <c r="B541" s="304">
        <f t="shared" ca="1" si="239"/>
        <v>36.80210000000028</v>
      </c>
      <c r="D541" s="306">
        <f t="shared" ca="1" si="240"/>
        <v>-0.54939343834705034</v>
      </c>
      <c r="E541" s="307">
        <f t="shared" ca="1" si="241"/>
        <v>-0.50788951126140169</v>
      </c>
      <c r="F541" s="304">
        <f t="shared" ca="1" si="242"/>
        <v>0.74818774765972995</v>
      </c>
      <c r="G541" s="306">
        <f t="shared" ca="1" si="243"/>
        <v>6.1996997630827835</v>
      </c>
      <c r="H541" s="307">
        <f t="shared" ca="1" si="244"/>
        <v>-104.97182369283234</v>
      </c>
      <c r="I541" s="304">
        <f t="shared" ca="1" si="245"/>
        <v>105.1547433383366</v>
      </c>
      <c r="J541" s="306">
        <f t="shared" ca="1" si="246"/>
        <v>745.87074281998321</v>
      </c>
      <c r="K541" s="307">
        <f t="shared" ca="1" si="247"/>
        <v>-8.8885341869111709</v>
      </c>
      <c r="L541" s="304">
        <f t="shared" ca="1" si="232"/>
        <v>745.92370322629199</v>
      </c>
      <c r="M541" s="306">
        <f t="shared" ca="1" si="248"/>
        <v>-1.5118042459786767</v>
      </c>
      <c r="N541" s="304">
        <f t="shared" ca="1" si="249"/>
        <v>-86.620002744535938</v>
      </c>
      <c r="P541" s="310">
        <f t="shared" ca="1" si="250"/>
        <v>23</v>
      </c>
      <c r="Q541" s="304">
        <f t="shared" ca="1" si="251"/>
        <v>0</v>
      </c>
      <c r="R541" s="306">
        <f t="shared" ca="1" si="252"/>
        <v>0</v>
      </c>
      <c r="S541" s="307">
        <f t="shared" ca="1" si="253"/>
        <v>2.9792999999999985</v>
      </c>
      <c r="T541" s="304">
        <f t="shared" ca="1" si="233"/>
        <v>29.226932999999988</v>
      </c>
      <c r="U541" s="311">
        <f t="shared" ca="1" si="234"/>
        <v>0</v>
      </c>
      <c r="V541" s="306">
        <f t="shared" ca="1" si="235"/>
        <v>1.2260893295650506</v>
      </c>
      <c r="W541" s="304">
        <f t="shared" ca="1" si="236"/>
        <v>27.762125790058551</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0.47461463767596435</v>
      </c>
      <c r="AH541" s="304">
        <f t="shared" ca="1" si="260"/>
        <v>-9.3183202721734908</v>
      </c>
    </row>
    <row r="542" spans="1:34" x14ac:dyDescent="0.2">
      <c r="A542" s="347">
        <f t="shared" ca="1" si="238"/>
        <v>1E-4</v>
      </c>
      <c r="B542" s="304">
        <f t="shared" ca="1" si="239"/>
        <v>36.802200000000283</v>
      </c>
      <c r="D542" s="306">
        <f t="shared" ca="1" si="240"/>
        <v>-0.5493893945476076</v>
      </c>
      <c r="E542" s="307">
        <f t="shared" ca="1" si="241"/>
        <v>-0.50787104747039713</v>
      </c>
      <c r="F542" s="304">
        <f t="shared" ca="1" si="242"/>
        <v>0.74817224467368826</v>
      </c>
      <c r="G542" s="306">
        <f t="shared" ca="1" si="243"/>
        <v>6.1996448241433288</v>
      </c>
      <c r="H542" s="307">
        <f t="shared" ca="1" si="244"/>
        <v>-104.97187447993709</v>
      </c>
      <c r="I542" s="304">
        <f t="shared" ca="1" si="245"/>
        <v>105.15479079802877</v>
      </c>
      <c r="J542" s="306">
        <f t="shared" ca="1" si="246"/>
        <v>745.87074281998321</v>
      </c>
      <c r="K542" s="307">
        <f t="shared" ca="1" si="247"/>
        <v>-8.8990313718198095</v>
      </c>
      <c r="L542" s="304">
        <f t="shared" ca="1" si="232"/>
        <v>745.92382838610945</v>
      </c>
      <c r="M542" s="306">
        <f t="shared" ca="1" si="248"/>
        <v>-1.5118047960027958</v>
      </c>
      <c r="N542" s="304">
        <f t="shared" ca="1" si="249"/>
        <v>-86.62003425859659</v>
      </c>
      <c r="P542" s="310">
        <f t="shared" ca="1" si="250"/>
        <v>23</v>
      </c>
      <c r="Q542" s="304">
        <f t="shared" ca="1" si="251"/>
        <v>0</v>
      </c>
      <c r="R542" s="306">
        <f t="shared" ca="1" si="252"/>
        <v>0</v>
      </c>
      <c r="S542" s="307">
        <f t="shared" ca="1" si="253"/>
        <v>2.9792999999999985</v>
      </c>
      <c r="T542" s="304">
        <f t="shared" ca="1" si="233"/>
        <v>29.226932999999988</v>
      </c>
      <c r="U542" s="311">
        <f t="shared" ca="1" si="234"/>
        <v>0</v>
      </c>
      <c r="V542" s="306">
        <f t="shared" ca="1" si="235"/>
        <v>1.2260906166146215</v>
      </c>
      <c r="W542" s="304">
        <f t="shared" ca="1" si="236"/>
        <v>27.762179992395406</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0.47459676254418781</v>
      </c>
      <c r="AH542" s="304">
        <f t="shared" ca="1" si="260"/>
        <v>-9.3183384654309958</v>
      </c>
    </row>
    <row r="543" spans="1:34" x14ac:dyDescent="0.2">
      <c r="A543" s="347">
        <f t="shared" ca="1" si="238"/>
        <v>1E-4</v>
      </c>
      <c r="B543" s="304">
        <f t="shared" ca="1" si="239"/>
        <v>36.802300000000287</v>
      </c>
      <c r="D543" s="306">
        <f t="shared" ca="1" si="240"/>
        <v>-0.54938535076144746</v>
      </c>
      <c r="E543" s="307">
        <f t="shared" ca="1" si="241"/>
        <v>-0.50785258396383348</v>
      </c>
      <c r="F543" s="304">
        <f t="shared" ca="1" si="242"/>
        <v>0.74815674204675942</v>
      </c>
      <c r="G543" s="306">
        <f t="shared" ca="1" si="243"/>
        <v>6.199589885608253</v>
      </c>
      <c r="H543" s="307">
        <f t="shared" ca="1" si="244"/>
        <v>-104.97192526519548</v>
      </c>
      <c r="I543" s="304">
        <f t="shared" ca="1" si="245"/>
        <v>105.15483825593343</v>
      </c>
      <c r="J543" s="306">
        <f t="shared" ca="1" si="246"/>
        <v>745.87074281998321</v>
      </c>
      <c r="K543" s="307">
        <f t="shared" ca="1" si="247"/>
        <v>-8.9095285618070665</v>
      </c>
      <c r="L543" s="304">
        <f t="shared" ca="1" si="232"/>
        <v>745.92395369369069</v>
      </c>
      <c r="M543" s="306">
        <f t="shared" ca="1" si="248"/>
        <v>-1.5118053460215444</v>
      </c>
      <c r="N543" s="304">
        <f t="shared" ca="1" si="249"/>
        <v>-86.620065772349534</v>
      </c>
      <c r="P543" s="310">
        <f t="shared" ca="1" si="250"/>
        <v>23</v>
      </c>
      <c r="Q543" s="304">
        <f t="shared" ca="1" si="251"/>
        <v>0</v>
      </c>
      <c r="R543" s="306">
        <f t="shared" ca="1" si="252"/>
        <v>0</v>
      </c>
      <c r="S543" s="307">
        <f t="shared" ca="1" si="253"/>
        <v>2.9792999999999985</v>
      </c>
      <c r="T543" s="304">
        <f t="shared" ca="1" si="233"/>
        <v>29.226932999999988</v>
      </c>
      <c r="U543" s="311">
        <f t="shared" ca="1" si="234"/>
        <v>0</v>
      </c>
      <c r="V543" s="306">
        <f t="shared" ca="1" si="235"/>
        <v>1.2260919036661664</v>
      </c>
      <c r="W543" s="304">
        <f t="shared" ca="1" si="236"/>
        <v>27.762234193897037</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0.47457888768668965</v>
      </c>
      <c r="AH543" s="304">
        <f t="shared" ca="1" si="260"/>
        <v>-9.3183566584081561</v>
      </c>
    </row>
    <row r="544" spans="1:34" x14ac:dyDescent="0.2">
      <c r="A544" s="347">
        <f t="shared" ca="1" si="238"/>
        <v>1E-4</v>
      </c>
      <c r="B544" s="304">
        <f t="shared" ca="1" si="239"/>
        <v>36.80240000000029</v>
      </c>
      <c r="D544" s="306">
        <f t="shared" ca="1" si="240"/>
        <v>-0.54938130698857301</v>
      </c>
      <c r="E544" s="307">
        <f t="shared" ca="1" si="241"/>
        <v>-0.5078341207417072</v>
      </c>
      <c r="F544" s="304">
        <f t="shared" ca="1" si="242"/>
        <v>0.7481412397789442</v>
      </c>
      <c r="G544" s="306">
        <f t="shared" ca="1" si="243"/>
        <v>6.1995349474775541</v>
      </c>
      <c r="H544" s="307">
        <f t="shared" ca="1" si="244"/>
        <v>-104.97197604860756</v>
      </c>
      <c r="I544" s="304">
        <f t="shared" ca="1" si="245"/>
        <v>105.15488571205066</v>
      </c>
      <c r="J544" s="306">
        <f t="shared" ca="1" si="246"/>
        <v>745.87074281998321</v>
      </c>
      <c r="K544" s="307">
        <f t="shared" ca="1" si="247"/>
        <v>-8.9200257568727572</v>
      </c>
      <c r="L544" s="304">
        <f t="shared" ca="1" si="232"/>
        <v>745.92407914903561</v>
      </c>
      <c r="M544" s="306">
        <f t="shared" ca="1" si="248"/>
        <v>-1.5118058960349223</v>
      </c>
      <c r="N544" s="304">
        <f t="shared" ca="1" si="249"/>
        <v>-86.62009728579477</v>
      </c>
      <c r="P544" s="310">
        <f t="shared" ca="1" si="250"/>
        <v>23</v>
      </c>
      <c r="Q544" s="304">
        <f t="shared" ca="1" si="251"/>
        <v>0</v>
      </c>
      <c r="R544" s="306">
        <f t="shared" ca="1" si="252"/>
        <v>0</v>
      </c>
      <c r="S544" s="307">
        <f t="shared" ca="1" si="253"/>
        <v>2.9792999999999985</v>
      </c>
      <c r="T544" s="304">
        <f t="shared" ca="1" si="233"/>
        <v>29.226932999999988</v>
      </c>
      <c r="U544" s="311">
        <f t="shared" ca="1" si="234"/>
        <v>0</v>
      </c>
      <c r="V544" s="306">
        <f t="shared" ca="1" si="235"/>
        <v>1.2260931907196859</v>
      </c>
      <c r="W544" s="304">
        <f t="shared" ca="1" si="236"/>
        <v>27.762288394563488</v>
      </c>
      <c r="Y544" s="314" t="str">
        <f t="shared" ca="1" si="254"/>
        <v/>
      </c>
      <c r="Z544" s="315" t="str">
        <f t="shared" ca="1" si="255"/>
        <v/>
      </c>
      <c r="AA544" s="316" t="str">
        <f t="shared" ca="1" si="256"/>
        <v/>
      </c>
      <c r="AC544" s="310" t="e">
        <f t="shared" ca="1" si="257"/>
        <v>#N/A</v>
      </c>
      <c r="AD544" s="323" t="e">
        <f t="shared" ca="1" si="258"/>
        <v>#N/A</v>
      </c>
      <c r="AE544" s="324" t="e">
        <f t="shared" ca="1" si="237"/>
        <v>#N/A</v>
      </c>
      <c r="AG544" s="306">
        <f t="shared" ca="1" si="259"/>
        <v>0.47456101310346099</v>
      </c>
      <c r="AH544" s="304">
        <f t="shared" ca="1" si="260"/>
        <v>-9.3183748511049753</v>
      </c>
    </row>
    <row r="545" spans="1:34" x14ac:dyDescent="0.2">
      <c r="A545" s="347">
        <f t="shared" ca="1" si="238"/>
        <v>1E-4</v>
      </c>
      <c r="B545" s="304">
        <f t="shared" ca="1" si="239"/>
        <v>36.802500000000293</v>
      </c>
      <c r="D545" s="306">
        <f t="shared" ca="1" si="240"/>
        <v>-0.54937726322898561</v>
      </c>
      <c r="E545" s="307">
        <f t="shared" ca="1" si="241"/>
        <v>-0.50781565780400939</v>
      </c>
      <c r="F545" s="304">
        <f t="shared" ca="1" si="242"/>
        <v>0.74812573787023851</v>
      </c>
      <c r="G545" s="306">
        <f t="shared" ca="1" si="243"/>
        <v>6.1994800097512313</v>
      </c>
      <c r="H545" s="307">
        <f t="shared" ca="1" si="244"/>
        <v>-104.97202683017333</v>
      </c>
      <c r="I545" s="304">
        <f t="shared" ca="1" si="245"/>
        <v>105.15493316638043</v>
      </c>
      <c r="J545" s="306">
        <f t="shared" ca="1" si="246"/>
        <v>745.87074281998321</v>
      </c>
      <c r="K545" s="307">
        <f t="shared" ca="1" si="247"/>
        <v>-8.9305229570166969</v>
      </c>
      <c r="L545" s="304">
        <f t="shared" ca="1" si="232"/>
        <v>745.92420475214465</v>
      </c>
      <c r="M545" s="306">
        <f t="shared" ca="1" si="248"/>
        <v>-1.5118064460429301</v>
      </c>
      <c r="N545" s="304">
        <f t="shared" ca="1" si="249"/>
        <v>-86.620128798932313</v>
      </c>
      <c r="P545" s="310">
        <f t="shared" ca="1" si="250"/>
        <v>23</v>
      </c>
      <c r="Q545" s="304">
        <f t="shared" ca="1" si="251"/>
        <v>0</v>
      </c>
      <c r="R545" s="306">
        <f t="shared" ca="1" si="252"/>
        <v>0</v>
      </c>
      <c r="S545" s="307">
        <f t="shared" ca="1" si="253"/>
        <v>2.9792999999999985</v>
      </c>
      <c r="T545" s="304">
        <f t="shared" ca="1" si="233"/>
        <v>29.226932999999988</v>
      </c>
      <c r="U545" s="311">
        <f t="shared" ca="1" si="234"/>
        <v>0</v>
      </c>
      <c r="V545" s="306">
        <f t="shared" ca="1" si="235"/>
        <v>1.2260944777751794</v>
      </c>
      <c r="W545" s="304">
        <f t="shared" ca="1" si="236"/>
        <v>27.762342594394731</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0.47454313879449295</v>
      </c>
      <c r="AH545" s="304">
        <f t="shared" ca="1" si="260"/>
        <v>-9.3183930435214659</v>
      </c>
    </row>
    <row r="546" spans="1:34" x14ac:dyDescent="0.2">
      <c r="A546" s="347">
        <f t="shared" ca="1" si="238"/>
        <v>1E-4</v>
      </c>
      <c r="B546" s="304">
        <f t="shared" ca="1" si="239"/>
        <v>36.802600000000297</v>
      </c>
      <c r="D546" s="306">
        <f t="shared" ca="1" si="240"/>
        <v>-0.54937321948268136</v>
      </c>
      <c r="E546" s="307">
        <f t="shared" ca="1" si="241"/>
        <v>-0.50779719515074362</v>
      </c>
      <c r="F546" s="304">
        <f t="shared" ca="1" si="242"/>
        <v>0.74811023632064333</v>
      </c>
      <c r="G546" s="306">
        <f t="shared" ca="1" si="243"/>
        <v>6.1994250724292828</v>
      </c>
      <c r="H546" s="307">
        <f t="shared" ca="1" si="244"/>
        <v>-104.97207760989285</v>
      </c>
      <c r="I546" s="304">
        <f t="shared" ca="1" si="245"/>
        <v>105.15498061892282</v>
      </c>
      <c r="J546" s="306">
        <f t="shared" ca="1" si="246"/>
        <v>745.87074281998321</v>
      </c>
      <c r="K546" s="307">
        <f t="shared" ca="1" si="247"/>
        <v>-8.9410201622387007</v>
      </c>
      <c r="L546" s="304">
        <f t="shared" ca="1" si="232"/>
        <v>745.92433050301759</v>
      </c>
      <c r="M546" s="306">
        <f t="shared" ca="1" si="248"/>
        <v>-1.5118069960455673</v>
      </c>
      <c r="N546" s="304">
        <f t="shared" ca="1" si="249"/>
        <v>-86.620160311762149</v>
      </c>
      <c r="P546" s="310">
        <f t="shared" ca="1" si="250"/>
        <v>23</v>
      </c>
      <c r="Q546" s="304">
        <f t="shared" ca="1" si="251"/>
        <v>0</v>
      </c>
      <c r="R546" s="306">
        <f t="shared" ca="1" si="252"/>
        <v>0</v>
      </c>
      <c r="S546" s="307">
        <f t="shared" ca="1" si="253"/>
        <v>2.9792999999999985</v>
      </c>
      <c r="T546" s="304">
        <f t="shared" ca="1" si="233"/>
        <v>29.226932999999988</v>
      </c>
      <c r="U546" s="311">
        <f t="shared" ca="1" si="234"/>
        <v>0</v>
      </c>
      <c r="V546" s="306">
        <f t="shared" ca="1" si="235"/>
        <v>1.2260957648326474</v>
      </c>
      <c r="W546" s="304">
        <f t="shared" ca="1" si="236"/>
        <v>27.762396793390803</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0.47452526475979262</v>
      </c>
      <c r="AH546" s="304">
        <f t="shared" ca="1" si="260"/>
        <v>-9.318411235657619</v>
      </c>
    </row>
    <row r="547" spans="1:34" x14ac:dyDescent="0.2">
      <c r="A547" s="347">
        <f t="shared" ca="1" si="238"/>
        <v>1E-4</v>
      </c>
      <c r="B547" s="304">
        <f t="shared" ca="1" si="239"/>
        <v>36.8027000000003</v>
      </c>
      <c r="D547" s="306">
        <f t="shared" ca="1" si="240"/>
        <v>-0.54936917574966604</v>
      </c>
      <c r="E547" s="307">
        <f t="shared" ca="1" si="241"/>
        <v>-0.50777873278189745</v>
      </c>
      <c r="F547" s="304">
        <f t="shared" ca="1" si="242"/>
        <v>0.74809473513015523</v>
      </c>
      <c r="G547" s="306">
        <f t="shared" ca="1" si="243"/>
        <v>6.1993701355117077</v>
      </c>
      <c r="H547" s="307">
        <f t="shared" ca="1" si="244"/>
        <v>-104.97212838776613</v>
      </c>
      <c r="I547" s="304">
        <f t="shared" ca="1" si="245"/>
        <v>105.15502806967781</v>
      </c>
      <c r="J547" s="306">
        <f t="shared" ca="1" si="246"/>
        <v>745.87074281998321</v>
      </c>
      <c r="K547" s="307">
        <f t="shared" ca="1" si="247"/>
        <v>-8.9515173725385839</v>
      </c>
      <c r="L547" s="304">
        <f t="shared" ca="1" si="232"/>
        <v>745.92445640165499</v>
      </c>
      <c r="M547" s="306">
        <f t="shared" ca="1" si="248"/>
        <v>-1.5118075460428344</v>
      </c>
      <c r="N547" s="304">
        <f t="shared" ca="1" si="249"/>
        <v>-86.620191824284291</v>
      </c>
      <c r="P547" s="310">
        <f t="shared" ca="1" si="250"/>
        <v>23</v>
      </c>
      <c r="Q547" s="304">
        <f t="shared" ca="1" si="251"/>
        <v>0</v>
      </c>
      <c r="R547" s="306">
        <f t="shared" ca="1" si="252"/>
        <v>0</v>
      </c>
      <c r="S547" s="307">
        <f t="shared" ca="1" si="253"/>
        <v>2.9792999999999985</v>
      </c>
      <c r="T547" s="304">
        <f t="shared" ca="1" si="233"/>
        <v>29.226932999999988</v>
      </c>
      <c r="U547" s="311">
        <f t="shared" ca="1" si="234"/>
        <v>0</v>
      </c>
      <c r="V547" s="306">
        <f t="shared" ca="1" si="235"/>
        <v>1.2260970518920895</v>
      </c>
      <c r="W547" s="304">
        <f t="shared" ca="1" si="236"/>
        <v>27.762450991551681</v>
      </c>
      <c r="Y547" s="314" t="str">
        <f t="shared" ca="1" si="254"/>
        <v/>
      </c>
      <c r="Z547" s="315" t="str">
        <f t="shared" ca="1" si="255"/>
        <v/>
      </c>
      <c r="AA547" s="316" t="str">
        <f t="shared" ca="1" si="256"/>
        <v/>
      </c>
      <c r="AC547" s="310" t="e">
        <f t="shared" ca="1" si="257"/>
        <v>#N/A</v>
      </c>
      <c r="AD547" s="323" t="e">
        <f t="shared" ca="1" si="258"/>
        <v>#N/A</v>
      </c>
      <c r="AE547" s="324" t="e">
        <f t="shared" ca="1" si="237"/>
        <v>#N/A</v>
      </c>
      <c r="AG547" s="306">
        <f t="shared" ca="1" si="259"/>
        <v>0.47450739099935113</v>
      </c>
      <c r="AH547" s="304">
        <f t="shared" ca="1" si="260"/>
        <v>-9.3184294275134487</v>
      </c>
    </row>
    <row r="548" spans="1:34" x14ac:dyDescent="0.2">
      <c r="A548" s="347">
        <f t="shared" ca="1" si="238"/>
        <v>1E-4</v>
      </c>
      <c r="B548" s="304">
        <f t="shared" ca="1" si="239"/>
        <v>36.802800000000303</v>
      </c>
      <c r="D548" s="306">
        <f t="shared" ca="1" si="240"/>
        <v>-0.54936513202993564</v>
      </c>
      <c r="E548" s="307">
        <f t="shared" ca="1" si="241"/>
        <v>-0.50776027069748153</v>
      </c>
      <c r="F548" s="304">
        <f t="shared" ca="1" si="242"/>
        <v>0.74807923429877954</v>
      </c>
      <c r="G548" s="306">
        <f t="shared" ca="1" si="243"/>
        <v>6.1993151989985043</v>
      </c>
      <c r="H548" s="307">
        <f t="shared" ca="1" si="244"/>
        <v>-104.9721791637932</v>
      </c>
      <c r="I548" s="304">
        <f t="shared" ca="1" si="245"/>
        <v>105.15507551864548</v>
      </c>
      <c r="J548" s="306">
        <f t="shared" ca="1" si="246"/>
        <v>745.87074281998321</v>
      </c>
      <c r="K548" s="307">
        <f t="shared" ca="1" si="247"/>
        <v>-8.9620145879161619</v>
      </c>
      <c r="L548" s="304">
        <f t="shared" ca="1" si="232"/>
        <v>745.92458244805653</v>
      </c>
      <c r="M548" s="306">
        <f t="shared" ca="1" si="248"/>
        <v>-1.5118080960347311</v>
      </c>
      <c r="N548" s="304">
        <f t="shared" ca="1" si="249"/>
        <v>-86.620223336498739</v>
      </c>
      <c r="P548" s="310">
        <f t="shared" ca="1" si="250"/>
        <v>23</v>
      </c>
      <c r="Q548" s="304">
        <f t="shared" ca="1" si="251"/>
        <v>0</v>
      </c>
      <c r="R548" s="306">
        <f t="shared" ca="1" si="252"/>
        <v>0</v>
      </c>
      <c r="S548" s="307">
        <f t="shared" ca="1" si="253"/>
        <v>2.9792999999999985</v>
      </c>
      <c r="T548" s="304">
        <f t="shared" ca="1" si="233"/>
        <v>29.226932999999988</v>
      </c>
      <c r="U548" s="311">
        <f t="shared" ca="1" si="234"/>
        <v>0</v>
      </c>
      <c r="V548" s="306">
        <f t="shared" ca="1" si="235"/>
        <v>1.2260983389535061</v>
      </c>
      <c r="W548" s="304">
        <f t="shared" ca="1" si="236"/>
        <v>27.762505188877416</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0.47448951751317026</v>
      </c>
      <c r="AH548" s="304">
        <f t="shared" ca="1" si="260"/>
        <v>-9.3184476190889463</v>
      </c>
    </row>
    <row r="549" spans="1:34" x14ac:dyDescent="0.2">
      <c r="A549" s="347">
        <f t="shared" ca="1" si="238"/>
        <v>1E-4</v>
      </c>
      <c r="B549" s="304">
        <f t="shared" ca="1" si="239"/>
        <v>36.802900000000307</v>
      </c>
      <c r="D549" s="306">
        <f t="shared" ca="1" si="240"/>
        <v>-0.54936108832349417</v>
      </c>
      <c r="E549" s="307">
        <f t="shared" ca="1" si="241"/>
        <v>-0.50774180889747988</v>
      </c>
      <c r="F549" s="304">
        <f t="shared" ca="1" si="242"/>
        <v>0.74806373382650959</v>
      </c>
      <c r="G549" s="306">
        <f t="shared" ca="1" si="243"/>
        <v>6.1992602628896716</v>
      </c>
      <c r="H549" s="307">
        <f t="shared" ca="1" si="244"/>
        <v>-104.97222993797409</v>
      </c>
      <c r="I549" s="304">
        <f t="shared" ca="1" si="245"/>
        <v>105.15512296582581</v>
      </c>
      <c r="J549" s="306">
        <f t="shared" ca="1" si="246"/>
        <v>745.87074281998321</v>
      </c>
      <c r="K549" s="307">
        <f t="shared" ca="1" si="247"/>
        <v>-8.9725118083712498</v>
      </c>
      <c r="L549" s="304">
        <f t="shared" ca="1" si="232"/>
        <v>745.92470864222275</v>
      </c>
      <c r="M549" s="306">
        <f t="shared" ca="1" si="248"/>
        <v>-1.5118086460212579</v>
      </c>
      <c r="N549" s="304">
        <f t="shared" ca="1" si="249"/>
        <v>-86.620254848405509</v>
      </c>
      <c r="P549" s="310">
        <f t="shared" ca="1" si="250"/>
        <v>23</v>
      </c>
      <c r="Q549" s="304">
        <f t="shared" ca="1" si="251"/>
        <v>0</v>
      </c>
      <c r="R549" s="306">
        <f t="shared" ca="1" si="252"/>
        <v>0</v>
      </c>
      <c r="S549" s="307">
        <f t="shared" ca="1" si="253"/>
        <v>2.9792999999999985</v>
      </c>
      <c r="T549" s="304">
        <f t="shared" ca="1" si="233"/>
        <v>29.226932999999988</v>
      </c>
      <c r="U549" s="311">
        <f t="shared" ca="1" si="234"/>
        <v>0</v>
      </c>
      <c r="V549" s="306">
        <f t="shared" ca="1" si="235"/>
        <v>1.2260996260168964</v>
      </c>
      <c r="W549" s="304">
        <f t="shared" ca="1" si="236"/>
        <v>27.76255938536799</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0.47447164430123756</v>
      </c>
      <c r="AH549" s="304">
        <f t="shared" ca="1" si="260"/>
        <v>-9.3184658103841276</v>
      </c>
    </row>
    <row r="550" spans="1:34" x14ac:dyDescent="0.2">
      <c r="A550" s="347">
        <f t="shared" ca="1" si="238"/>
        <v>1E-4</v>
      </c>
      <c r="B550" s="304">
        <f t="shared" ca="1" si="239"/>
        <v>36.80300000000031</v>
      </c>
      <c r="D550" s="306">
        <f t="shared" ca="1" si="240"/>
        <v>-0.54935704463033785</v>
      </c>
      <c r="E550" s="307">
        <f t="shared" ca="1" si="241"/>
        <v>-0.50772334738189429</v>
      </c>
      <c r="F550" s="304">
        <f t="shared" ca="1" si="242"/>
        <v>0.74804823371334461</v>
      </c>
      <c r="G550" s="306">
        <f t="shared" ca="1" si="243"/>
        <v>6.1992053271852088</v>
      </c>
      <c r="H550" s="307">
        <f t="shared" ca="1" si="244"/>
        <v>-104.97228071030882</v>
      </c>
      <c r="I550" s="304">
        <f t="shared" ca="1" si="245"/>
        <v>105.15517041121885</v>
      </c>
      <c r="J550" s="306">
        <f t="shared" ca="1" si="246"/>
        <v>745.87074281998321</v>
      </c>
      <c r="K550" s="307">
        <f t="shared" ca="1" si="247"/>
        <v>-8.9830090339036648</v>
      </c>
      <c r="L550" s="304">
        <f t="shared" ca="1" si="232"/>
        <v>745.92483498415356</v>
      </c>
      <c r="M550" s="306">
        <f t="shared" ca="1" si="248"/>
        <v>-1.5118091960024143</v>
      </c>
      <c r="N550" s="304">
        <f t="shared" ca="1" si="249"/>
        <v>-86.620286360004584</v>
      </c>
      <c r="P550" s="310">
        <f t="shared" ca="1" si="250"/>
        <v>23</v>
      </c>
      <c r="Q550" s="304">
        <f t="shared" ca="1" si="251"/>
        <v>0</v>
      </c>
      <c r="R550" s="306">
        <f t="shared" ca="1" si="252"/>
        <v>0</v>
      </c>
      <c r="S550" s="307">
        <f t="shared" ca="1" si="253"/>
        <v>2.9792999999999985</v>
      </c>
      <c r="T550" s="304">
        <f t="shared" ca="1" si="233"/>
        <v>29.226932999999988</v>
      </c>
      <c r="U550" s="311">
        <f t="shared" ca="1" si="234"/>
        <v>0</v>
      </c>
      <c r="V550" s="306">
        <f t="shared" ca="1" si="235"/>
        <v>1.2261009130822613</v>
      </c>
      <c r="W550" s="304">
        <f t="shared" ca="1" si="236"/>
        <v>27.762613581023427</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0.47445377136356015</v>
      </c>
      <c r="AH550" s="304">
        <f t="shared" ca="1" si="260"/>
        <v>-9.3184840013989874</v>
      </c>
    </row>
    <row r="551" spans="1:34" x14ac:dyDescent="0.2">
      <c r="A551" s="347">
        <f t="shared" ca="1" si="238"/>
        <v>1E-4</v>
      </c>
      <c r="B551" s="304">
        <f t="shared" ca="1" si="239"/>
        <v>36.803100000000313</v>
      </c>
      <c r="D551" s="306">
        <f t="shared" ca="1" si="240"/>
        <v>-0.54935300095047201</v>
      </c>
      <c r="E551" s="307">
        <f t="shared" ca="1" si="241"/>
        <v>-0.5077048861507194</v>
      </c>
      <c r="F551" s="304">
        <f t="shared" ca="1" si="242"/>
        <v>0.74803273395928616</v>
      </c>
      <c r="G551" s="306">
        <f t="shared" ca="1" si="243"/>
        <v>6.1991503918851141</v>
      </c>
      <c r="H551" s="307">
        <f t="shared" ca="1" si="244"/>
        <v>-104.97233148079744</v>
      </c>
      <c r="I551" s="304">
        <f t="shared" ca="1" si="245"/>
        <v>105.15521785482461</v>
      </c>
      <c r="J551" s="306">
        <f t="shared" ca="1" si="246"/>
        <v>745.87074281998321</v>
      </c>
      <c r="K551" s="307">
        <f t="shared" ca="1" si="247"/>
        <v>-8.9935062645132202</v>
      </c>
      <c r="L551" s="304">
        <f t="shared" ca="1" si="232"/>
        <v>745.92496147384918</v>
      </c>
      <c r="M551" s="306">
        <f t="shared" ca="1" si="248"/>
        <v>-1.5118097459782009</v>
      </c>
      <c r="N551" s="304">
        <f t="shared" ca="1" si="249"/>
        <v>-86.620317871295995</v>
      </c>
      <c r="P551" s="310">
        <f t="shared" ca="1" si="250"/>
        <v>23</v>
      </c>
      <c r="Q551" s="304">
        <f t="shared" ca="1" si="251"/>
        <v>0</v>
      </c>
      <c r="R551" s="306">
        <f t="shared" ca="1" si="252"/>
        <v>0</v>
      </c>
      <c r="S551" s="307">
        <f t="shared" ca="1" si="253"/>
        <v>2.9792999999999985</v>
      </c>
      <c r="T551" s="304">
        <f t="shared" ca="1" si="233"/>
        <v>29.226932999999988</v>
      </c>
      <c r="U551" s="311">
        <f t="shared" ca="1" si="234"/>
        <v>0</v>
      </c>
      <c r="V551" s="306">
        <f t="shared" ca="1" si="235"/>
        <v>1.2261022001496005</v>
      </c>
      <c r="W551" s="304">
        <f t="shared" ca="1" si="236"/>
        <v>27.762667775843724</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0.47443589870012559</v>
      </c>
      <c r="AH551" s="304">
        <f t="shared" ca="1" si="260"/>
        <v>-9.3185021921335345</v>
      </c>
    </row>
    <row r="552" spans="1:34" x14ac:dyDescent="0.2">
      <c r="A552" s="347">
        <f t="shared" ca="1" si="238"/>
        <v>1E-4</v>
      </c>
      <c r="B552" s="304">
        <f t="shared" ca="1" si="239"/>
        <v>36.803200000000317</v>
      </c>
      <c r="D552" s="306">
        <f t="shared" ca="1" si="240"/>
        <v>-0.54934895728389121</v>
      </c>
      <c r="E552" s="307">
        <f t="shared" ca="1" si="241"/>
        <v>-0.50768642520395524</v>
      </c>
      <c r="F552" s="304">
        <f t="shared" ca="1" si="242"/>
        <v>0.74801723456433122</v>
      </c>
      <c r="G552" s="306">
        <f t="shared" ca="1" si="243"/>
        <v>6.1990954569893857</v>
      </c>
      <c r="H552" s="307">
        <f t="shared" ca="1" si="244"/>
        <v>-104.97238224943996</v>
      </c>
      <c r="I552" s="304">
        <f t="shared" ca="1" si="245"/>
        <v>105.15526529664315</v>
      </c>
      <c r="J552" s="306">
        <f t="shared" ca="1" si="246"/>
        <v>745.87074281998321</v>
      </c>
      <c r="K552" s="307">
        <f t="shared" ca="1" si="247"/>
        <v>-9.0040035001997314</v>
      </c>
      <c r="L552" s="304">
        <f t="shared" ca="1" si="232"/>
        <v>745.92508811130972</v>
      </c>
      <c r="M552" s="306">
        <f t="shared" ca="1" si="248"/>
        <v>-1.5118102959486175</v>
      </c>
      <c r="N552" s="304">
        <f t="shared" ca="1" si="249"/>
        <v>-86.620349382279727</v>
      </c>
      <c r="P552" s="310">
        <f t="shared" ca="1" si="250"/>
        <v>23</v>
      </c>
      <c r="Q552" s="304">
        <f t="shared" ca="1" si="251"/>
        <v>0</v>
      </c>
      <c r="R552" s="306">
        <f t="shared" ca="1" si="252"/>
        <v>0</v>
      </c>
      <c r="S552" s="307">
        <f t="shared" ca="1" si="253"/>
        <v>2.9792999999999985</v>
      </c>
      <c r="T552" s="304">
        <f t="shared" ca="1" si="233"/>
        <v>29.226932999999988</v>
      </c>
      <c r="U552" s="311">
        <f t="shared" ca="1" si="234"/>
        <v>0</v>
      </c>
      <c r="V552" s="306">
        <f t="shared" ca="1" si="235"/>
        <v>1.2261034872189134</v>
      </c>
      <c r="W552" s="304">
        <f t="shared" ca="1" si="236"/>
        <v>27.762721969828903</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0.47441802631093566</v>
      </c>
      <c r="AH552" s="304">
        <f t="shared" ca="1" si="260"/>
        <v>-9.3185203825877689</v>
      </c>
    </row>
    <row r="553" spans="1:34" x14ac:dyDescent="0.2">
      <c r="A553" s="347">
        <f t="shared" ca="1" si="238"/>
        <v>1E-4</v>
      </c>
      <c r="B553" s="304">
        <f t="shared" ca="1" si="239"/>
        <v>36.80330000000032</v>
      </c>
      <c r="D553" s="306">
        <f t="shared" ca="1" si="240"/>
        <v>-0.54934491363060067</v>
      </c>
      <c r="E553" s="307">
        <f t="shared" ca="1" si="241"/>
        <v>-0.50766796454159469</v>
      </c>
      <c r="F553" s="304">
        <f t="shared" ca="1" si="242"/>
        <v>0.74800173552847982</v>
      </c>
      <c r="G553" s="306">
        <f t="shared" ca="1" si="243"/>
        <v>6.1990405224980227</v>
      </c>
      <c r="H553" s="307">
        <f t="shared" ca="1" si="244"/>
        <v>-104.97243301623641</v>
      </c>
      <c r="I553" s="304">
        <f t="shared" ca="1" si="245"/>
        <v>105.15531273667446</v>
      </c>
      <c r="J553" s="306">
        <f t="shared" ca="1" si="246"/>
        <v>745.87074281998321</v>
      </c>
      <c r="K553" s="307">
        <f t="shared" ca="1" si="247"/>
        <v>-9.0145007409630153</v>
      </c>
      <c r="L553" s="304">
        <f t="shared" ca="1" si="232"/>
        <v>745.92521489653529</v>
      </c>
      <c r="M553" s="306">
        <f t="shared" ca="1" si="248"/>
        <v>-1.5118108459136641</v>
      </c>
      <c r="N553" s="304">
        <f t="shared" ca="1" si="249"/>
        <v>-86.620380892955765</v>
      </c>
      <c r="P553" s="310">
        <f t="shared" ca="1" si="250"/>
        <v>23</v>
      </c>
      <c r="Q553" s="304">
        <f t="shared" ca="1" si="251"/>
        <v>0</v>
      </c>
      <c r="R553" s="306">
        <f t="shared" ca="1" si="252"/>
        <v>0</v>
      </c>
      <c r="S553" s="307">
        <f t="shared" ca="1" si="253"/>
        <v>2.9792999999999985</v>
      </c>
      <c r="T553" s="304">
        <f t="shared" ca="1" si="233"/>
        <v>29.226932999999988</v>
      </c>
      <c r="U553" s="311">
        <f t="shared" ca="1" si="234"/>
        <v>0</v>
      </c>
      <c r="V553" s="306">
        <f t="shared" ca="1" si="235"/>
        <v>1.2261047742902009</v>
      </c>
      <c r="W553" s="304">
        <f t="shared" ca="1" si="236"/>
        <v>27.762776162978962</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0.47440015419598858</v>
      </c>
      <c r="AH553" s="304">
        <f t="shared" ca="1" si="260"/>
        <v>-9.3185385727616943</v>
      </c>
    </row>
    <row r="554" spans="1:34" x14ac:dyDescent="0.2">
      <c r="A554" s="347">
        <f t="shared" ca="1" si="238"/>
        <v>1E-4</v>
      </c>
      <c r="B554" s="304">
        <f t="shared" ca="1" si="239"/>
        <v>36.803400000000323</v>
      </c>
      <c r="D554" s="306">
        <f t="shared" ca="1" si="240"/>
        <v>-0.54934086999059917</v>
      </c>
      <c r="E554" s="307">
        <f t="shared" ca="1" si="241"/>
        <v>-0.50764950416363597</v>
      </c>
      <c r="F554" s="304">
        <f t="shared" ca="1" si="242"/>
        <v>0.74798623685173093</v>
      </c>
      <c r="G554" s="306">
        <f t="shared" ca="1" si="243"/>
        <v>6.1989855884110234</v>
      </c>
      <c r="H554" s="307">
        <f t="shared" ca="1" si="244"/>
        <v>-104.97248378118682</v>
      </c>
      <c r="I554" s="304">
        <f t="shared" ca="1" si="245"/>
        <v>105.1553601749186</v>
      </c>
      <c r="J554" s="306">
        <f t="shared" ca="1" si="246"/>
        <v>745.87074281998321</v>
      </c>
      <c r="K554" s="307">
        <f t="shared" ca="1" si="247"/>
        <v>-9.0249979868028873</v>
      </c>
      <c r="L554" s="304">
        <f t="shared" ca="1" si="232"/>
        <v>745.92534182952613</v>
      </c>
      <c r="M554" s="306">
        <f t="shared" ca="1" si="248"/>
        <v>-1.511811395873341</v>
      </c>
      <c r="N554" s="304">
        <f t="shared" ca="1" si="249"/>
        <v>-86.620412403324167</v>
      </c>
      <c r="P554" s="310">
        <f t="shared" ca="1" si="250"/>
        <v>23</v>
      </c>
      <c r="Q554" s="304">
        <f t="shared" ca="1" si="251"/>
        <v>0</v>
      </c>
      <c r="R554" s="306">
        <f t="shared" ca="1" si="252"/>
        <v>0</v>
      </c>
      <c r="S554" s="307">
        <f t="shared" ca="1" si="253"/>
        <v>2.9792999999999985</v>
      </c>
      <c r="T554" s="304">
        <f t="shared" ca="1" si="233"/>
        <v>29.226932999999988</v>
      </c>
      <c r="U554" s="311">
        <f t="shared" ca="1" si="234"/>
        <v>0</v>
      </c>
      <c r="V554" s="306">
        <f t="shared" ca="1" si="235"/>
        <v>1.2261060613634622</v>
      </c>
      <c r="W554" s="304">
        <f t="shared" ca="1" si="236"/>
        <v>27.762830355293929</v>
      </c>
      <c r="Y554" s="314" t="str">
        <f t="shared" ca="1" si="254"/>
        <v/>
      </c>
      <c r="Z554" s="315" t="str">
        <f t="shared" ca="1" si="255"/>
        <v/>
      </c>
      <c r="AA554" s="316" t="str">
        <f t="shared" ca="1" si="256"/>
        <v/>
      </c>
      <c r="AC554" s="310" t="e">
        <f t="shared" ca="1" si="257"/>
        <v>#N/A</v>
      </c>
      <c r="AD554" s="323" t="e">
        <f t="shared" ca="1" si="258"/>
        <v>#N/A</v>
      </c>
      <c r="AE554" s="324" t="e">
        <f t="shared" ca="1" si="237"/>
        <v>#N/A</v>
      </c>
      <c r="AG554" s="306">
        <f t="shared" ca="1" si="259"/>
        <v>0.47438228235528079</v>
      </c>
      <c r="AH554" s="304">
        <f t="shared" ca="1" si="260"/>
        <v>-9.3185567626553141</v>
      </c>
    </row>
    <row r="555" spans="1:34" x14ac:dyDescent="0.2">
      <c r="A555" s="347">
        <f t="shared" ca="1" si="238"/>
        <v>1E-4</v>
      </c>
      <c r="B555" s="304">
        <f t="shared" ca="1" si="239"/>
        <v>36.803500000000327</v>
      </c>
      <c r="D555" s="306">
        <f t="shared" ca="1" si="240"/>
        <v>-0.54933682636388581</v>
      </c>
      <c r="E555" s="307">
        <f t="shared" ca="1" si="241"/>
        <v>-0.50763104407007376</v>
      </c>
      <c r="F555" s="304">
        <f t="shared" ca="1" si="242"/>
        <v>0.74797073853408136</v>
      </c>
      <c r="G555" s="306">
        <f t="shared" ca="1" si="243"/>
        <v>6.1989306547283869</v>
      </c>
      <c r="H555" s="307">
        <f t="shared" ca="1" si="244"/>
        <v>-104.97253454429124</v>
      </c>
      <c r="I555" s="304">
        <f t="shared" ca="1" si="245"/>
        <v>105.15540761137559</v>
      </c>
      <c r="J555" s="306">
        <f t="shared" ca="1" si="246"/>
        <v>745.87074281998321</v>
      </c>
      <c r="K555" s="307">
        <f t="shared" ca="1" si="247"/>
        <v>-9.0354952377191609</v>
      </c>
      <c r="L555" s="304">
        <f t="shared" ca="1" si="232"/>
        <v>745.92546891028223</v>
      </c>
      <c r="M555" s="306">
        <f t="shared" ca="1" si="248"/>
        <v>-1.511811945827648</v>
      </c>
      <c r="N555" s="304">
        <f t="shared" ca="1" si="249"/>
        <v>-86.620443913384875</v>
      </c>
      <c r="P555" s="310">
        <f t="shared" ca="1" si="250"/>
        <v>23</v>
      </c>
      <c r="Q555" s="304">
        <f t="shared" ca="1" si="251"/>
        <v>0</v>
      </c>
      <c r="R555" s="306">
        <f t="shared" ca="1" si="252"/>
        <v>0</v>
      </c>
      <c r="S555" s="307">
        <f t="shared" ca="1" si="253"/>
        <v>2.9792999999999985</v>
      </c>
      <c r="T555" s="304">
        <f t="shared" ca="1" si="233"/>
        <v>29.226932999999988</v>
      </c>
      <c r="U555" s="311">
        <f t="shared" ca="1" si="234"/>
        <v>0</v>
      </c>
      <c r="V555" s="306">
        <f t="shared" ca="1" si="235"/>
        <v>1.2261073484386982</v>
      </c>
      <c r="W555" s="304">
        <f t="shared" ca="1" si="236"/>
        <v>27.762884546773819</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0.47436441078880343</v>
      </c>
      <c r="AH555" s="304">
        <f t="shared" ca="1" si="260"/>
        <v>-9.3185749522686336</v>
      </c>
    </row>
    <row r="556" spans="1:34" x14ac:dyDescent="0.2">
      <c r="A556" s="347">
        <f t="shared" ca="1" si="238"/>
        <v>1E-4</v>
      </c>
      <c r="B556" s="304">
        <f t="shared" ca="1" si="239"/>
        <v>36.80360000000033</v>
      </c>
      <c r="D556" s="306">
        <f t="shared" ca="1" si="240"/>
        <v>-0.54933278275046382</v>
      </c>
      <c r="E556" s="307">
        <f t="shared" ca="1" si="241"/>
        <v>-0.50761258426090095</v>
      </c>
      <c r="F556" s="304">
        <f t="shared" ca="1" si="242"/>
        <v>0.74795524057552976</v>
      </c>
      <c r="G556" s="306">
        <f t="shared" ca="1" si="243"/>
        <v>6.1988757214501122</v>
      </c>
      <c r="H556" s="307">
        <f t="shared" ca="1" si="244"/>
        <v>-104.97258530554966</v>
      </c>
      <c r="I556" s="304">
        <f t="shared" ca="1" si="245"/>
        <v>105.15545504604543</v>
      </c>
      <c r="J556" s="306">
        <f t="shared" ca="1" si="246"/>
        <v>745.87074281998321</v>
      </c>
      <c r="K556" s="307">
        <f t="shared" ca="1" si="247"/>
        <v>-9.0459924937116529</v>
      </c>
      <c r="L556" s="304">
        <f t="shared" ca="1" si="232"/>
        <v>745.92559613880383</v>
      </c>
      <c r="M556" s="306">
        <f t="shared" ca="1" si="248"/>
        <v>-1.5118124957765853</v>
      </c>
      <c r="N556" s="304">
        <f t="shared" ca="1" si="249"/>
        <v>-86.620475423137933</v>
      </c>
      <c r="P556" s="310">
        <f t="shared" ca="1" si="250"/>
        <v>23</v>
      </c>
      <c r="Q556" s="304">
        <f t="shared" ca="1" si="251"/>
        <v>0</v>
      </c>
      <c r="R556" s="306">
        <f t="shared" ca="1" si="252"/>
        <v>0</v>
      </c>
      <c r="S556" s="307">
        <f t="shared" ca="1" si="253"/>
        <v>2.9792999999999985</v>
      </c>
      <c r="T556" s="304">
        <f t="shared" ca="1" si="233"/>
        <v>29.226932999999988</v>
      </c>
      <c r="U556" s="311">
        <f t="shared" ca="1" si="234"/>
        <v>0</v>
      </c>
      <c r="V556" s="306">
        <f t="shared" ca="1" si="235"/>
        <v>1.2261086355159079</v>
      </c>
      <c r="W556" s="304">
        <f t="shared" ca="1" si="236"/>
        <v>27.762938737418597</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0.47434653949655115</v>
      </c>
      <c r="AH556" s="304">
        <f t="shared" ca="1" si="260"/>
        <v>-9.3185931416016619</v>
      </c>
    </row>
    <row r="557" spans="1:34" x14ac:dyDescent="0.2">
      <c r="A557" s="347">
        <f t="shared" ca="1" si="238"/>
        <v>1E-4</v>
      </c>
      <c r="B557" s="304">
        <f t="shared" ca="1" si="239"/>
        <v>36.803700000000333</v>
      </c>
      <c r="D557" s="306">
        <f t="shared" ca="1" si="240"/>
        <v>-0.54932873915033131</v>
      </c>
      <c r="E557" s="307">
        <f t="shared" ca="1" si="241"/>
        <v>-0.50759412473612819</v>
      </c>
      <c r="F557" s="304">
        <f t="shared" ca="1" si="242"/>
        <v>0.74793974297608279</v>
      </c>
      <c r="G557" s="306">
        <f t="shared" ca="1" si="243"/>
        <v>6.1988207885761968</v>
      </c>
      <c r="H557" s="307">
        <f t="shared" ca="1" si="244"/>
        <v>-104.97263606496213</v>
      </c>
      <c r="I557" s="304">
        <f t="shared" ca="1" si="245"/>
        <v>105.15550247892818</v>
      </c>
      <c r="J557" s="306">
        <f t="shared" ca="1" si="246"/>
        <v>745.87074281998321</v>
      </c>
      <c r="K557" s="307">
        <f t="shared" ca="1" si="247"/>
        <v>-9.0564897547801788</v>
      </c>
      <c r="L557" s="304">
        <f t="shared" ca="1" si="232"/>
        <v>745.92572351509102</v>
      </c>
      <c r="M557" s="306">
        <f t="shared" ca="1" si="248"/>
        <v>-1.5118130457201531</v>
      </c>
      <c r="N557" s="304">
        <f t="shared" ca="1" si="249"/>
        <v>-86.620506932583339</v>
      </c>
      <c r="P557" s="310">
        <f t="shared" ca="1" si="250"/>
        <v>23</v>
      </c>
      <c r="Q557" s="304">
        <f t="shared" ca="1" si="251"/>
        <v>0</v>
      </c>
      <c r="R557" s="306">
        <f t="shared" ca="1" si="252"/>
        <v>0</v>
      </c>
      <c r="S557" s="307">
        <f t="shared" ca="1" si="253"/>
        <v>2.9792999999999985</v>
      </c>
      <c r="T557" s="304">
        <f t="shared" ca="1" si="233"/>
        <v>29.226932999999988</v>
      </c>
      <c r="U557" s="311">
        <f t="shared" ca="1" si="234"/>
        <v>0</v>
      </c>
      <c r="V557" s="306">
        <f t="shared" ca="1" si="235"/>
        <v>1.2261099225950913</v>
      </c>
      <c r="W557" s="304">
        <f t="shared" ca="1" si="236"/>
        <v>27.762992927228314</v>
      </c>
      <c r="Y557" s="314" t="str">
        <f t="shared" ca="1" si="254"/>
        <v/>
      </c>
      <c r="Z557" s="315" t="str">
        <f t="shared" ca="1" si="255"/>
        <v/>
      </c>
      <c r="AA557" s="316" t="str">
        <f t="shared" ca="1" si="256"/>
        <v/>
      </c>
      <c r="AC557" s="310" t="e">
        <f t="shared" ca="1" si="257"/>
        <v>#N/A</v>
      </c>
      <c r="AD557" s="323" t="e">
        <f t="shared" ca="1" si="258"/>
        <v>#N/A</v>
      </c>
      <c r="AE557" s="324" t="e">
        <f t="shared" ca="1" si="237"/>
        <v>#N/A</v>
      </c>
      <c r="AG557" s="306">
        <f t="shared" ca="1" si="259"/>
        <v>0.47432866847853639</v>
      </c>
      <c r="AH557" s="304">
        <f t="shared" ca="1" si="260"/>
        <v>-9.3186113306543863</v>
      </c>
    </row>
    <row r="558" spans="1:34" x14ac:dyDescent="0.2">
      <c r="A558" s="347">
        <f t="shared" ca="1" si="238"/>
        <v>1E-4</v>
      </c>
      <c r="B558" s="304">
        <f t="shared" ca="1" si="239"/>
        <v>36.803800000000336</v>
      </c>
      <c r="D558" s="306">
        <f t="shared" ca="1" si="240"/>
        <v>-0.54932469556348773</v>
      </c>
      <c r="E558" s="307">
        <f t="shared" ca="1" si="241"/>
        <v>-0.50757566549573951</v>
      </c>
      <c r="F558" s="304">
        <f t="shared" ca="1" si="242"/>
        <v>0.74792424573573046</v>
      </c>
      <c r="G558" s="306">
        <f t="shared" ca="1" si="243"/>
        <v>6.1987658561066405</v>
      </c>
      <c r="H558" s="307">
        <f t="shared" ca="1" si="244"/>
        <v>-104.97268682252869</v>
      </c>
      <c r="I558" s="304">
        <f t="shared" ca="1" si="245"/>
        <v>105.15554991002386</v>
      </c>
      <c r="J558" s="306">
        <f t="shared" ca="1" si="246"/>
        <v>745.87074281998321</v>
      </c>
      <c r="K558" s="307">
        <f t="shared" ca="1" si="247"/>
        <v>-9.0669870209245538</v>
      </c>
      <c r="L558" s="304">
        <f t="shared" ca="1" si="232"/>
        <v>745.92585103914394</v>
      </c>
      <c r="M558" s="306">
        <f t="shared" ca="1" si="248"/>
        <v>-1.5118135956583512</v>
      </c>
      <c r="N558" s="304">
        <f t="shared" ca="1" si="249"/>
        <v>-86.620538441721081</v>
      </c>
      <c r="P558" s="310">
        <f t="shared" ca="1" si="250"/>
        <v>23</v>
      </c>
      <c r="Q558" s="304">
        <f t="shared" ca="1" si="251"/>
        <v>0</v>
      </c>
      <c r="R558" s="306">
        <f t="shared" ca="1" si="252"/>
        <v>0</v>
      </c>
      <c r="S558" s="307">
        <f t="shared" ca="1" si="253"/>
        <v>2.9792999999999985</v>
      </c>
      <c r="T558" s="304">
        <f t="shared" ca="1" si="233"/>
        <v>29.226932999999988</v>
      </c>
      <c r="U558" s="311">
        <f t="shared" ca="1" si="234"/>
        <v>0</v>
      </c>
      <c r="V558" s="306">
        <f t="shared" ca="1" si="235"/>
        <v>1.2261112096762488</v>
      </c>
      <c r="W558" s="304">
        <f t="shared" ca="1" si="236"/>
        <v>27.763047116202959</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0.47431079773474316</v>
      </c>
      <c r="AH558" s="304">
        <f t="shared" ca="1" si="260"/>
        <v>-9.3186295194268212</v>
      </c>
    </row>
    <row r="559" spans="1:34" x14ac:dyDescent="0.2">
      <c r="A559" s="347">
        <f t="shared" ca="1" si="238"/>
        <v>1E-4</v>
      </c>
      <c r="B559" s="304">
        <f t="shared" ca="1" si="239"/>
        <v>36.80390000000034</v>
      </c>
      <c r="D559" s="306">
        <f t="shared" ca="1" si="240"/>
        <v>-0.54932065198993585</v>
      </c>
      <c r="E559" s="307">
        <f t="shared" ca="1" si="241"/>
        <v>-0.50755720653974024</v>
      </c>
      <c r="F559" s="304">
        <f t="shared" ca="1" si="242"/>
        <v>0.74790874885447944</v>
      </c>
      <c r="G559" s="306">
        <f t="shared" ca="1" si="243"/>
        <v>6.1987109240414417</v>
      </c>
      <c r="H559" s="307">
        <f t="shared" ca="1" si="244"/>
        <v>-104.97273757824934</v>
      </c>
      <c r="I559" s="304">
        <f t="shared" ca="1" si="245"/>
        <v>105.15559733933249</v>
      </c>
      <c r="J559" s="306">
        <f t="shared" ca="1" si="246"/>
        <v>745.87074281998321</v>
      </c>
      <c r="K559" s="307">
        <f t="shared" ca="1" si="247"/>
        <v>-9.0774842921445931</v>
      </c>
      <c r="L559" s="304">
        <f t="shared" ca="1" si="232"/>
        <v>745.92597871096268</v>
      </c>
      <c r="M559" s="306">
        <f t="shared" ca="1" si="248"/>
        <v>-1.5118141455911798</v>
      </c>
      <c r="N559" s="304">
        <f t="shared" ca="1" si="249"/>
        <v>-86.620569950551172</v>
      </c>
      <c r="P559" s="310">
        <f t="shared" ca="1" si="250"/>
        <v>23</v>
      </c>
      <c r="Q559" s="304">
        <f t="shared" ca="1" si="251"/>
        <v>0</v>
      </c>
      <c r="R559" s="306">
        <f t="shared" ca="1" si="252"/>
        <v>0</v>
      </c>
      <c r="S559" s="307">
        <f t="shared" ca="1" si="253"/>
        <v>2.9792999999999985</v>
      </c>
      <c r="T559" s="304">
        <f t="shared" ca="1" si="233"/>
        <v>29.226932999999988</v>
      </c>
      <c r="U559" s="311">
        <f t="shared" ca="1" si="234"/>
        <v>0</v>
      </c>
      <c r="V559" s="306">
        <f t="shared" ca="1" si="235"/>
        <v>1.2261124967593808</v>
      </c>
      <c r="W559" s="304">
        <f t="shared" ca="1" si="236"/>
        <v>27.76310130434257</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0.47429292726517325</v>
      </c>
      <c r="AH559" s="304">
        <f t="shared" ca="1" si="260"/>
        <v>-9.3186477079189647</v>
      </c>
    </row>
    <row r="560" spans="1:34" x14ac:dyDescent="0.2">
      <c r="A560" s="347">
        <f t="shared" ca="1" si="238"/>
        <v>1E-4</v>
      </c>
      <c r="B560" s="304">
        <f t="shared" ca="1" si="239"/>
        <v>36.804000000000343</v>
      </c>
      <c r="D560" s="306">
        <f t="shared" ca="1" si="240"/>
        <v>-0.54931660842967511</v>
      </c>
      <c r="E560" s="307">
        <f t="shared" ca="1" si="241"/>
        <v>-0.50753874786811437</v>
      </c>
      <c r="F560" s="304">
        <f t="shared" ca="1" si="242"/>
        <v>0.7478932523323194</v>
      </c>
      <c r="G560" s="306">
        <f t="shared" ca="1" si="243"/>
        <v>6.1986559923805986</v>
      </c>
      <c r="H560" s="307">
        <f t="shared" ca="1" si="244"/>
        <v>-104.97278833212413</v>
      </c>
      <c r="I560" s="304">
        <f t="shared" ca="1" si="245"/>
        <v>105.15564476685411</v>
      </c>
      <c r="J560" s="306">
        <f t="shared" ca="1" si="246"/>
        <v>745.87074281998321</v>
      </c>
      <c r="K560" s="307">
        <f t="shared" ca="1" si="247"/>
        <v>-9.087981568440112</v>
      </c>
      <c r="L560" s="304">
        <f t="shared" ca="1" si="232"/>
        <v>745.9261065305476</v>
      </c>
      <c r="M560" s="306">
        <f t="shared" ca="1" si="248"/>
        <v>-1.5118146955186391</v>
      </c>
      <c r="N560" s="304">
        <f t="shared" ca="1" si="249"/>
        <v>-86.620601459073626</v>
      </c>
      <c r="P560" s="310">
        <f t="shared" ca="1" si="250"/>
        <v>23</v>
      </c>
      <c r="Q560" s="304">
        <f t="shared" ca="1" si="251"/>
        <v>0</v>
      </c>
      <c r="R560" s="306">
        <f t="shared" ca="1" si="252"/>
        <v>0</v>
      </c>
      <c r="S560" s="307">
        <f t="shared" ca="1" si="253"/>
        <v>2.9792999999999985</v>
      </c>
      <c r="T560" s="304">
        <f t="shared" ca="1" si="233"/>
        <v>29.226932999999988</v>
      </c>
      <c r="U560" s="311">
        <f t="shared" ca="1" si="234"/>
        <v>0</v>
      </c>
      <c r="V560" s="306">
        <f t="shared" ca="1" si="235"/>
        <v>1.2261137838444862</v>
      </c>
      <c r="W560" s="304">
        <f t="shared" ca="1" si="236"/>
        <v>27.763155491647122</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0.47427505706981421</v>
      </c>
      <c r="AH560" s="304">
        <f t="shared" ca="1" si="260"/>
        <v>-9.3186658961308311</v>
      </c>
    </row>
    <row r="561" spans="1:34" x14ac:dyDescent="0.2">
      <c r="A561" s="347">
        <f t="shared" ca="1" si="238"/>
        <v>1E-4</v>
      </c>
      <c r="B561" s="304">
        <f t="shared" ca="1" si="239"/>
        <v>36.804100000000346</v>
      </c>
      <c r="D561" s="306">
        <f t="shared" ca="1" si="240"/>
        <v>-0.54931256488270364</v>
      </c>
      <c r="E561" s="307">
        <f t="shared" ca="1" si="241"/>
        <v>-0.5075202894808708</v>
      </c>
      <c r="F561" s="304">
        <f t="shared" ca="1" si="242"/>
        <v>0.74787775616925622</v>
      </c>
      <c r="G561" s="306">
        <f t="shared" ca="1" si="243"/>
        <v>6.1986010611241102</v>
      </c>
      <c r="H561" s="307">
        <f t="shared" ca="1" si="244"/>
        <v>-104.97283908415308</v>
      </c>
      <c r="I561" s="304">
        <f t="shared" ca="1" si="245"/>
        <v>105.15569219258873</v>
      </c>
      <c r="J561" s="306">
        <f t="shared" ca="1" si="246"/>
        <v>745.87074281998321</v>
      </c>
      <c r="K561" s="307">
        <f t="shared" ca="1" si="247"/>
        <v>-9.0984788498109257</v>
      </c>
      <c r="L561" s="304">
        <f t="shared" ca="1" si="232"/>
        <v>745.92623449789858</v>
      </c>
      <c r="M561" s="306">
        <f t="shared" ca="1" si="248"/>
        <v>-1.5118152454407288</v>
      </c>
      <c r="N561" s="304">
        <f t="shared" ca="1" si="249"/>
        <v>-86.620632967288429</v>
      </c>
      <c r="P561" s="310">
        <f t="shared" ca="1" si="250"/>
        <v>23</v>
      </c>
      <c r="Q561" s="304">
        <f t="shared" ca="1" si="251"/>
        <v>0</v>
      </c>
      <c r="R561" s="306">
        <f t="shared" ca="1" si="252"/>
        <v>0</v>
      </c>
      <c r="S561" s="307">
        <f t="shared" ca="1" si="253"/>
        <v>2.9792999999999985</v>
      </c>
      <c r="T561" s="304">
        <f t="shared" ca="1" si="233"/>
        <v>29.226932999999988</v>
      </c>
      <c r="U561" s="311">
        <f t="shared" ca="1" si="234"/>
        <v>0</v>
      </c>
      <c r="V561" s="306">
        <f t="shared" ca="1" si="235"/>
        <v>1.2261150709315662</v>
      </c>
      <c r="W561" s="304">
        <f t="shared" ca="1" si="236"/>
        <v>27.763209678116656</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0.47425718714867848</v>
      </c>
      <c r="AH561" s="304">
        <f t="shared" ca="1" si="260"/>
        <v>-9.3186840840624097</v>
      </c>
    </row>
    <row r="562" spans="1:34" x14ac:dyDescent="0.2">
      <c r="A562" s="347">
        <f t="shared" ca="1" si="238"/>
        <v>1E-4</v>
      </c>
      <c r="B562" s="304">
        <f t="shared" ca="1" si="239"/>
        <v>36.80420000000035</v>
      </c>
      <c r="D562" s="306">
        <f t="shared" ca="1" si="240"/>
        <v>-0.54930852134902719</v>
      </c>
      <c r="E562" s="307">
        <f t="shared" ca="1" si="241"/>
        <v>-0.50750183137799887</v>
      </c>
      <c r="F562" s="304">
        <f t="shared" ca="1" si="242"/>
        <v>0.74786226036528769</v>
      </c>
      <c r="G562" s="306">
        <f t="shared" ca="1" si="243"/>
        <v>6.1985461302719758</v>
      </c>
      <c r="H562" s="307">
        <f t="shared" ca="1" si="244"/>
        <v>-104.97288983433621</v>
      </c>
      <c r="I562" s="304">
        <f t="shared" ca="1" si="245"/>
        <v>105.15573961653637</v>
      </c>
      <c r="J562" s="306">
        <f t="shared" ca="1" si="246"/>
        <v>745.87074281998321</v>
      </c>
      <c r="K562" s="307">
        <f t="shared" ca="1" si="247"/>
        <v>-9.1089761362568495</v>
      </c>
      <c r="L562" s="304">
        <f t="shared" ca="1" si="232"/>
        <v>745.92636261301584</v>
      </c>
      <c r="M562" s="306">
        <f t="shared" ca="1" si="248"/>
        <v>-1.5118157953574494</v>
      </c>
      <c r="N562" s="304">
        <f t="shared" ca="1" si="249"/>
        <v>-86.620664475195611</v>
      </c>
      <c r="P562" s="310">
        <f t="shared" ca="1" si="250"/>
        <v>23</v>
      </c>
      <c r="Q562" s="304">
        <f t="shared" ca="1" si="251"/>
        <v>0</v>
      </c>
      <c r="R562" s="306">
        <f t="shared" ca="1" si="252"/>
        <v>0</v>
      </c>
      <c r="S562" s="307">
        <f t="shared" ca="1" si="253"/>
        <v>2.9792999999999985</v>
      </c>
      <c r="T562" s="304">
        <f t="shared" ca="1" si="233"/>
        <v>29.226932999999988</v>
      </c>
      <c r="U562" s="311">
        <f t="shared" ca="1" si="234"/>
        <v>0</v>
      </c>
      <c r="V562" s="306">
        <f t="shared" ca="1" si="235"/>
        <v>1.2261163580206198</v>
      </c>
      <c r="W562" s="304">
        <f t="shared" ca="1" si="236"/>
        <v>27.763263863751149</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0.47423931750174653</v>
      </c>
      <c r="AH562" s="304">
        <f t="shared" ca="1" si="260"/>
        <v>-9.3187022717137147</v>
      </c>
    </row>
    <row r="563" spans="1:34" x14ac:dyDescent="0.2">
      <c r="A563" s="347">
        <f t="shared" ca="1" si="238"/>
        <v>1E-4</v>
      </c>
      <c r="B563" s="304">
        <f t="shared" ca="1" si="239"/>
        <v>36.804300000000353</v>
      </c>
      <c r="D563" s="306">
        <f t="shared" ca="1" si="240"/>
        <v>-0.54930447782863978</v>
      </c>
      <c r="E563" s="307">
        <f t="shared" ca="1" si="241"/>
        <v>-0.50748337355950213</v>
      </c>
      <c r="F563" s="304">
        <f t="shared" ca="1" si="242"/>
        <v>0.74784676492041324</v>
      </c>
      <c r="G563" s="306">
        <f t="shared" ca="1" si="243"/>
        <v>6.1984911998241925</v>
      </c>
      <c r="H563" s="307">
        <f t="shared" ca="1" si="244"/>
        <v>-104.97294058267357</v>
      </c>
      <c r="I563" s="304">
        <f t="shared" ca="1" si="245"/>
        <v>105.15578703869708</v>
      </c>
      <c r="J563" s="306">
        <f t="shared" ca="1" si="246"/>
        <v>745.87074281998321</v>
      </c>
      <c r="K563" s="307">
        <f t="shared" ca="1" si="247"/>
        <v>-9.1194734277777005</v>
      </c>
      <c r="L563" s="304">
        <f t="shared" ca="1" si="232"/>
        <v>745.92649087589962</v>
      </c>
      <c r="M563" s="306">
        <f t="shared" ca="1" si="248"/>
        <v>-1.5118163452688005</v>
      </c>
      <c r="N563" s="304">
        <f t="shared" ca="1" si="249"/>
        <v>-86.620695982795127</v>
      </c>
      <c r="P563" s="310">
        <f t="shared" ca="1" si="250"/>
        <v>23</v>
      </c>
      <c r="Q563" s="304">
        <f t="shared" ca="1" si="251"/>
        <v>0</v>
      </c>
      <c r="R563" s="306">
        <f t="shared" ca="1" si="252"/>
        <v>0</v>
      </c>
      <c r="S563" s="307">
        <f t="shared" ca="1" si="253"/>
        <v>2.9792999999999985</v>
      </c>
      <c r="T563" s="304">
        <f t="shared" ca="1" si="233"/>
        <v>29.226932999999988</v>
      </c>
      <c r="U563" s="311">
        <f t="shared" ca="1" si="234"/>
        <v>0</v>
      </c>
      <c r="V563" s="306">
        <f t="shared" ca="1" si="235"/>
        <v>1.2261176451116478</v>
      </c>
      <c r="W563" s="304">
        <f t="shared" ca="1" si="236"/>
        <v>27.763318048550644</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0.47422144812903255</v>
      </c>
      <c r="AH563" s="304">
        <f t="shared" ca="1" si="260"/>
        <v>-9.318720459084739</v>
      </c>
    </row>
    <row r="564" spans="1:34" x14ac:dyDescent="0.2">
      <c r="A564" s="347">
        <f t="shared" ca="1" si="238"/>
        <v>1E-4</v>
      </c>
      <c r="B564" s="304">
        <f t="shared" ca="1" si="239"/>
        <v>36.804400000000356</v>
      </c>
      <c r="D564" s="306">
        <f t="shared" ca="1" si="240"/>
        <v>-0.54930043432154729</v>
      </c>
      <c r="E564" s="307">
        <f t="shared" ca="1" si="241"/>
        <v>-0.50746491602536992</v>
      </c>
      <c r="F564" s="304">
        <f t="shared" ca="1" si="242"/>
        <v>0.74783126983463066</v>
      </c>
      <c r="G564" s="306">
        <f t="shared" ca="1" si="243"/>
        <v>6.1984362697807605</v>
      </c>
      <c r="H564" s="307">
        <f t="shared" ca="1" si="244"/>
        <v>-104.97299132916517</v>
      </c>
      <c r="I564" s="304">
        <f t="shared" ca="1" si="245"/>
        <v>105.15583445907089</v>
      </c>
      <c r="J564" s="306">
        <f t="shared" ca="1" si="246"/>
        <v>745.87074281998321</v>
      </c>
      <c r="K564" s="307">
        <f t="shared" ca="1" si="247"/>
        <v>-9.1299707243732922</v>
      </c>
      <c r="L564" s="304">
        <f t="shared" ca="1" si="232"/>
        <v>745.92661928654979</v>
      </c>
      <c r="M564" s="306">
        <f t="shared" ca="1" si="248"/>
        <v>-1.5118168951747826</v>
      </c>
      <c r="N564" s="304">
        <f t="shared" ca="1" si="249"/>
        <v>-86.620727490087035</v>
      </c>
      <c r="P564" s="310">
        <f t="shared" ca="1" si="250"/>
        <v>23</v>
      </c>
      <c r="Q564" s="304">
        <f t="shared" ca="1" si="251"/>
        <v>0</v>
      </c>
      <c r="R564" s="306">
        <f t="shared" ca="1" si="252"/>
        <v>0</v>
      </c>
      <c r="S564" s="307">
        <f t="shared" ca="1" si="253"/>
        <v>2.9792999999999985</v>
      </c>
      <c r="T564" s="304">
        <f t="shared" ca="1" si="233"/>
        <v>29.226932999999988</v>
      </c>
      <c r="U564" s="311">
        <f t="shared" ca="1" si="234"/>
        <v>0</v>
      </c>
      <c r="V564" s="306">
        <f t="shared" ca="1" si="235"/>
        <v>1.2261189322046495</v>
      </c>
      <c r="W564" s="304">
        <f t="shared" ca="1" si="236"/>
        <v>27.763372232515128</v>
      </c>
      <c r="Y564" s="314" t="str">
        <f t="shared" ca="1" si="254"/>
        <v/>
      </c>
      <c r="Z564" s="315" t="str">
        <f t="shared" ca="1" si="255"/>
        <v/>
      </c>
      <c r="AA564" s="316" t="str">
        <f t="shared" ca="1" si="256"/>
        <v/>
      </c>
      <c r="AC564" s="310" t="e">
        <f t="shared" ca="1" si="257"/>
        <v>#N/A</v>
      </c>
      <c r="AD564" s="323" t="e">
        <f t="shared" ca="1" si="258"/>
        <v>#N/A</v>
      </c>
      <c r="AE564" s="324" t="e">
        <f t="shared" ca="1" si="237"/>
        <v>#N/A</v>
      </c>
      <c r="AG564" s="306">
        <f t="shared" ca="1" si="259"/>
        <v>0.47420357903051524</v>
      </c>
      <c r="AH564" s="304">
        <f t="shared" ca="1" si="260"/>
        <v>-9.3187386461754969</v>
      </c>
    </row>
    <row r="565" spans="1:34" x14ac:dyDescent="0.2">
      <c r="A565" s="347">
        <f t="shared" ca="1" si="238"/>
        <v>1E-4</v>
      </c>
      <c r="B565" s="304">
        <f t="shared" ca="1" si="239"/>
        <v>36.80450000000036</v>
      </c>
      <c r="D565" s="306">
        <f t="shared" ca="1" si="240"/>
        <v>-0.54929639082774595</v>
      </c>
      <c r="E565" s="307">
        <f t="shared" ca="1" si="241"/>
        <v>-0.50744645877560401</v>
      </c>
      <c r="F565" s="304">
        <f t="shared" ca="1" si="242"/>
        <v>0.74781577510793973</v>
      </c>
      <c r="G565" s="306">
        <f t="shared" ca="1" si="243"/>
        <v>6.1983813401416779</v>
      </c>
      <c r="H565" s="307">
        <f t="shared" ca="1" si="244"/>
        <v>-104.97304207381104</v>
      </c>
      <c r="I565" s="304">
        <f t="shared" ca="1" si="245"/>
        <v>105.15588187765781</v>
      </c>
      <c r="J565" s="306">
        <f t="shared" ca="1" si="246"/>
        <v>745.87074281998321</v>
      </c>
      <c r="K565" s="307">
        <f t="shared" ca="1" si="247"/>
        <v>-9.1404680260434414</v>
      </c>
      <c r="L565" s="304">
        <f t="shared" ca="1" si="232"/>
        <v>745.92674784496683</v>
      </c>
      <c r="M565" s="306">
        <f t="shared" ca="1" si="248"/>
        <v>-1.5118174450753954</v>
      </c>
      <c r="N565" s="304">
        <f t="shared" ca="1" si="249"/>
        <v>-86.620758997071306</v>
      </c>
      <c r="P565" s="310">
        <f t="shared" ca="1" si="250"/>
        <v>23</v>
      </c>
      <c r="Q565" s="304">
        <f t="shared" ca="1" si="251"/>
        <v>0</v>
      </c>
      <c r="R565" s="306">
        <f t="shared" ca="1" si="252"/>
        <v>0</v>
      </c>
      <c r="S565" s="307">
        <f t="shared" ca="1" si="253"/>
        <v>2.9792999999999985</v>
      </c>
      <c r="T565" s="304">
        <f t="shared" ca="1" si="233"/>
        <v>29.226932999999988</v>
      </c>
      <c r="U565" s="311">
        <f t="shared" ca="1" si="234"/>
        <v>0</v>
      </c>
      <c r="V565" s="306">
        <f t="shared" ca="1" si="235"/>
        <v>1.2261202192996248</v>
      </c>
      <c r="W565" s="304">
        <f t="shared" ca="1" si="236"/>
        <v>27.763426415644616</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0.47418571020620526</v>
      </c>
      <c r="AH565" s="304">
        <f t="shared" ca="1" si="260"/>
        <v>-9.3187568329859829</v>
      </c>
    </row>
    <row r="566" spans="1:34" x14ac:dyDescent="0.2">
      <c r="A566" s="347">
        <f t="shared" ca="1" si="238"/>
        <v>1E-4</v>
      </c>
      <c r="B566" s="304">
        <f t="shared" ca="1" si="239"/>
        <v>36.804600000000363</v>
      </c>
      <c r="D566" s="306">
        <f t="shared" ca="1" si="240"/>
        <v>-0.5492923473472392</v>
      </c>
      <c r="E566" s="307">
        <f t="shared" ca="1" si="241"/>
        <v>-0.50742800181019732</v>
      </c>
      <c r="F566" s="304">
        <f t="shared" ca="1" si="242"/>
        <v>0.74780028074033889</v>
      </c>
      <c r="G566" s="306">
        <f t="shared" ca="1" si="243"/>
        <v>6.1983264109069429</v>
      </c>
      <c r="H566" s="307">
        <f t="shared" ca="1" si="244"/>
        <v>-104.97309281661123</v>
      </c>
      <c r="I566" s="304">
        <f t="shared" ca="1" si="245"/>
        <v>105.15592929445786</v>
      </c>
      <c r="J566" s="306">
        <f t="shared" ca="1" si="246"/>
        <v>745.87074281998321</v>
      </c>
      <c r="K566" s="307">
        <f t="shared" ca="1" si="247"/>
        <v>-9.1509653327879619</v>
      </c>
      <c r="L566" s="304">
        <f t="shared" ca="1" si="232"/>
        <v>745.9268765511506</v>
      </c>
      <c r="M566" s="306">
        <f t="shared" ca="1" si="248"/>
        <v>-1.5118179949706392</v>
      </c>
      <c r="N566" s="304">
        <f t="shared" ca="1" si="249"/>
        <v>-86.620790503747941</v>
      </c>
      <c r="P566" s="310">
        <f t="shared" ca="1" si="250"/>
        <v>23</v>
      </c>
      <c r="Q566" s="304">
        <f t="shared" ca="1" si="251"/>
        <v>0</v>
      </c>
      <c r="R566" s="306">
        <f t="shared" ca="1" si="252"/>
        <v>0</v>
      </c>
      <c r="S566" s="307">
        <f t="shared" ca="1" si="253"/>
        <v>2.9792999999999985</v>
      </c>
      <c r="T566" s="304">
        <f t="shared" ca="1" si="233"/>
        <v>29.226932999999988</v>
      </c>
      <c r="U566" s="311">
        <f t="shared" ca="1" si="234"/>
        <v>0</v>
      </c>
      <c r="V566" s="306">
        <f t="shared" ca="1" si="235"/>
        <v>1.2261215063965745</v>
      </c>
      <c r="W566" s="304">
        <f t="shared" ca="1" si="236"/>
        <v>27.763480597939125</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0.47416784165609371</v>
      </c>
      <c r="AH566" s="304">
        <f t="shared" ca="1" si="260"/>
        <v>-9.318775019516206</v>
      </c>
    </row>
    <row r="567" spans="1:34" x14ac:dyDescent="0.2">
      <c r="A567" s="347">
        <f t="shared" ca="1" si="238"/>
        <v>1E-4</v>
      </c>
      <c r="B567" s="304">
        <f t="shared" ca="1" si="239"/>
        <v>36.804700000000366</v>
      </c>
      <c r="D567" s="306">
        <f t="shared" ca="1" si="240"/>
        <v>-0.54928830388002559</v>
      </c>
      <c r="E567" s="307">
        <f t="shared" ca="1" si="241"/>
        <v>-0.50740954512914982</v>
      </c>
      <c r="F567" s="304">
        <f t="shared" ca="1" si="242"/>
        <v>0.74778478673182847</v>
      </c>
      <c r="G567" s="306">
        <f t="shared" ca="1" si="243"/>
        <v>6.1982714820765548</v>
      </c>
      <c r="H567" s="307">
        <f t="shared" ca="1" si="244"/>
        <v>-104.97314355756573</v>
      </c>
      <c r="I567" s="304">
        <f t="shared" ca="1" si="245"/>
        <v>105.15597670947109</v>
      </c>
      <c r="J567" s="306">
        <f t="shared" ca="1" si="246"/>
        <v>745.87074281998321</v>
      </c>
      <c r="K567" s="307">
        <f t="shared" ca="1" si="247"/>
        <v>-9.1614626446066705</v>
      </c>
      <c r="L567" s="304">
        <f t="shared" ca="1" si="232"/>
        <v>745.92700540510134</v>
      </c>
      <c r="M567" s="306">
        <f t="shared" ca="1" si="248"/>
        <v>-1.5118185448605141</v>
      </c>
      <c r="N567" s="304">
        <f t="shared" ca="1" si="249"/>
        <v>-86.620822010116981</v>
      </c>
      <c r="P567" s="310">
        <f t="shared" ca="1" si="250"/>
        <v>23</v>
      </c>
      <c r="Q567" s="304">
        <f t="shared" ca="1" si="251"/>
        <v>0</v>
      </c>
      <c r="R567" s="306">
        <f t="shared" ca="1" si="252"/>
        <v>0</v>
      </c>
      <c r="S567" s="307">
        <f t="shared" ca="1" si="253"/>
        <v>2.9792999999999985</v>
      </c>
      <c r="T567" s="304">
        <f t="shared" ca="1" si="233"/>
        <v>29.226932999999988</v>
      </c>
      <c r="U567" s="311">
        <f t="shared" ca="1" si="234"/>
        <v>0</v>
      </c>
      <c r="V567" s="306">
        <f t="shared" ca="1" si="235"/>
        <v>1.2261227934954977</v>
      </c>
      <c r="W567" s="304">
        <f t="shared" ca="1" si="236"/>
        <v>27.763534779398658</v>
      </c>
      <c r="Y567" s="314" t="str">
        <f t="shared" ca="1" si="254"/>
        <v/>
      </c>
      <c r="Z567" s="315" t="str">
        <f t="shared" ca="1" si="255"/>
        <v/>
      </c>
      <c r="AA567" s="316" t="str">
        <f t="shared" ca="1" si="256"/>
        <v/>
      </c>
      <c r="AC567" s="310" t="e">
        <f t="shared" ca="1" si="257"/>
        <v>#N/A</v>
      </c>
      <c r="AD567" s="323" t="e">
        <f t="shared" ca="1" si="258"/>
        <v>#N/A</v>
      </c>
      <c r="AE567" s="324" t="e">
        <f t="shared" ca="1" si="237"/>
        <v>#N/A</v>
      </c>
      <c r="AG567" s="306">
        <f t="shared" ca="1" si="259"/>
        <v>0.47414997338017706</v>
      </c>
      <c r="AH567" s="304">
        <f t="shared" ca="1" si="260"/>
        <v>-9.3187932057661662</v>
      </c>
    </row>
    <row r="568" spans="1:34" x14ac:dyDescent="0.2">
      <c r="A568" s="347">
        <f t="shared" ca="1" si="238"/>
        <v>1E-4</v>
      </c>
      <c r="B568" s="304">
        <f t="shared" ca="1" si="239"/>
        <v>36.80480000000037</v>
      </c>
      <c r="D568" s="306">
        <f t="shared" ca="1" si="240"/>
        <v>-0.54928426042610423</v>
      </c>
      <c r="E568" s="307">
        <f t="shared" ca="1" si="241"/>
        <v>-0.50739108873245442</v>
      </c>
      <c r="F568" s="304">
        <f t="shared" ca="1" si="242"/>
        <v>0.7477692930824037</v>
      </c>
      <c r="G568" s="306">
        <f t="shared" ca="1" si="243"/>
        <v>6.1982165536505125</v>
      </c>
      <c r="H568" s="307">
        <f t="shared" ca="1" si="244"/>
        <v>-104.97319429667461</v>
      </c>
      <c r="I568" s="304">
        <f t="shared" ca="1" si="245"/>
        <v>105.15602412269753</v>
      </c>
      <c r="J568" s="306">
        <f t="shared" ca="1" si="246"/>
        <v>745.87074281998321</v>
      </c>
      <c r="K568" s="307">
        <f t="shared" ca="1" si="247"/>
        <v>-9.1719599614993825</v>
      </c>
      <c r="L568" s="304">
        <f t="shared" ca="1" si="232"/>
        <v>745.92713440681916</v>
      </c>
      <c r="M568" s="306">
        <f t="shared" ca="1" si="248"/>
        <v>-1.5118190947450199</v>
      </c>
      <c r="N568" s="304">
        <f t="shared" ca="1" si="249"/>
        <v>-86.620853516178371</v>
      </c>
      <c r="P568" s="310">
        <f t="shared" ca="1" si="250"/>
        <v>23</v>
      </c>
      <c r="Q568" s="304">
        <f t="shared" ca="1" si="251"/>
        <v>0</v>
      </c>
      <c r="R568" s="306">
        <f t="shared" ca="1" si="252"/>
        <v>0</v>
      </c>
      <c r="S568" s="307">
        <f t="shared" ca="1" si="253"/>
        <v>2.9792999999999985</v>
      </c>
      <c r="T568" s="304">
        <f t="shared" ca="1" si="233"/>
        <v>29.226932999999988</v>
      </c>
      <c r="U568" s="311">
        <f t="shared" ca="1" si="234"/>
        <v>0</v>
      </c>
      <c r="V568" s="306">
        <f t="shared" ca="1" si="235"/>
        <v>1.2261240805963949</v>
      </c>
      <c r="W568" s="304">
        <f t="shared" ca="1" si="236"/>
        <v>27.763588960023231</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0.47413210537845174</v>
      </c>
      <c r="AH568" s="304">
        <f t="shared" ca="1" si="260"/>
        <v>-9.3188113917358688</v>
      </c>
    </row>
    <row r="569" spans="1:34" x14ac:dyDescent="0.2">
      <c r="A569" s="347">
        <f t="shared" ca="1" si="238"/>
        <v>1E-4</v>
      </c>
      <c r="B569" s="304">
        <f t="shared" ca="1" si="239"/>
        <v>36.804900000000373</v>
      </c>
      <c r="D569" s="306">
        <f t="shared" ca="1" si="240"/>
        <v>-0.54928021698548013</v>
      </c>
      <c r="E569" s="307">
        <f t="shared" ca="1" si="241"/>
        <v>-0.5073726326201129</v>
      </c>
      <c r="F569" s="304">
        <f t="shared" ca="1" si="242"/>
        <v>0.74775379979207068</v>
      </c>
      <c r="G569" s="306">
        <f t="shared" ca="1" si="243"/>
        <v>6.1981616256288143</v>
      </c>
      <c r="H569" s="307">
        <f t="shared" ca="1" si="244"/>
        <v>-104.97324503393787</v>
      </c>
      <c r="I569" s="304">
        <f t="shared" ca="1" si="245"/>
        <v>105.1560715341372</v>
      </c>
      <c r="J569" s="306">
        <f t="shared" ca="1" si="246"/>
        <v>745.87074281998321</v>
      </c>
      <c r="K569" s="307">
        <f t="shared" ca="1" si="247"/>
        <v>-9.1824572834659133</v>
      </c>
      <c r="L569" s="304">
        <f t="shared" ca="1" si="232"/>
        <v>745.9272635563043</v>
      </c>
      <c r="M569" s="306">
        <f t="shared" ca="1" si="248"/>
        <v>-1.511819644624157</v>
      </c>
      <c r="N569" s="304">
        <f t="shared" ca="1" si="249"/>
        <v>-86.620885021932168</v>
      </c>
      <c r="P569" s="310">
        <f t="shared" ca="1" si="250"/>
        <v>23</v>
      </c>
      <c r="Q569" s="304">
        <f t="shared" ca="1" si="251"/>
        <v>0</v>
      </c>
      <c r="R569" s="306">
        <f t="shared" ca="1" si="252"/>
        <v>0</v>
      </c>
      <c r="S569" s="307">
        <f t="shared" ca="1" si="253"/>
        <v>2.9792999999999985</v>
      </c>
      <c r="T569" s="304">
        <f t="shared" ca="1" si="233"/>
        <v>29.226932999999988</v>
      </c>
      <c r="U569" s="311">
        <f t="shared" ca="1" si="234"/>
        <v>0</v>
      </c>
      <c r="V569" s="306">
        <f t="shared" ca="1" si="235"/>
        <v>1.2261253676992661</v>
      </c>
      <c r="W569" s="304">
        <f t="shared" ca="1" si="236"/>
        <v>27.763643139812853</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0.47411423765091776</v>
      </c>
      <c r="AH569" s="304">
        <f t="shared" ca="1" si="260"/>
        <v>-9.3188295774253156</v>
      </c>
    </row>
    <row r="570" spans="1:34" x14ac:dyDescent="0.2">
      <c r="A570" s="347">
        <f t="shared" ca="1" si="238"/>
        <v>1E-4</v>
      </c>
      <c r="B570" s="304">
        <f t="shared" ca="1" si="239"/>
        <v>36.805000000000376</v>
      </c>
      <c r="D570" s="306">
        <f t="shared" ca="1" si="240"/>
        <v>-0.54927617355814817</v>
      </c>
      <c r="E570" s="307">
        <f t="shared" ca="1" si="241"/>
        <v>-0.50735417679211459</v>
      </c>
      <c r="F570" s="304">
        <f t="shared" ca="1" si="242"/>
        <v>0.74773830686081955</v>
      </c>
      <c r="G570" s="306">
        <f t="shared" ca="1" si="243"/>
        <v>6.1981066980114585</v>
      </c>
      <c r="H570" s="307">
        <f t="shared" ca="1" si="244"/>
        <v>-104.97329576935554</v>
      </c>
      <c r="I570" s="304">
        <f t="shared" ca="1" si="245"/>
        <v>105.1561189437901</v>
      </c>
      <c r="J570" s="306">
        <f t="shared" ca="1" si="246"/>
        <v>745.87074281998321</v>
      </c>
      <c r="K570" s="307">
        <f t="shared" ca="1" si="247"/>
        <v>-9.192954610506078</v>
      </c>
      <c r="L570" s="304">
        <f t="shared" ca="1" si="232"/>
        <v>745.92739285355674</v>
      </c>
      <c r="M570" s="306">
        <f t="shared" ca="1" si="248"/>
        <v>-1.5118201944979253</v>
      </c>
      <c r="N570" s="304">
        <f t="shared" ca="1" si="249"/>
        <v>-86.620916527378355</v>
      </c>
      <c r="P570" s="310">
        <f t="shared" ca="1" si="250"/>
        <v>23</v>
      </c>
      <c r="Q570" s="304">
        <f t="shared" ca="1" si="251"/>
        <v>0</v>
      </c>
      <c r="R570" s="306">
        <f t="shared" ca="1" si="252"/>
        <v>0</v>
      </c>
      <c r="S570" s="307">
        <f t="shared" ca="1" si="253"/>
        <v>2.9792999999999985</v>
      </c>
      <c r="T570" s="304">
        <f t="shared" ca="1" si="233"/>
        <v>29.226932999999988</v>
      </c>
      <c r="U570" s="311">
        <f t="shared" ca="1" si="234"/>
        <v>0</v>
      </c>
      <c r="V570" s="306">
        <f t="shared" ca="1" si="235"/>
        <v>1.2261266548041108</v>
      </c>
      <c r="W570" s="304">
        <f t="shared" ca="1" si="236"/>
        <v>27.763697318767523</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0.47409637019756623</v>
      </c>
      <c r="AH570" s="304">
        <f t="shared" ca="1" si="260"/>
        <v>-9.3188477628345137</v>
      </c>
    </row>
    <row r="571" spans="1:34" x14ac:dyDescent="0.2">
      <c r="A571" s="347">
        <f t="shared" ca="1" si="238"/>
        <v>1E-4</v>
      </c>
      <c r="B571" s="304">
        <f t="shared" ca="1" si="239"/>
        <v>36.80510000000038</v>
      </c>
      <c r="D571" s="306">
        <f t="shared" ca="1" si="240"/>
        <v>-0.54927213014411114</v>
      </c>
      <c r="E571" s="307">
        <f t="shared" ca="1" si="241"/>
        <v>-0.50733572124846305</v>
      </c>
      <c r="F571" s="304">
        <f t="shared" ca="1" si="242"/>
        <v>0.74772281428865572</v>
      </c>
      <c r="G571" s="306">
        <f t="shared" ca="1" si="243"/>
        <v>6.1980517707984442</v>
      </c>
      <c r="H571" s="307">
        <f t="shared" ca="1" si="244"/>
        <v>-104.97334650292767</v>
      </c>
      <c r="I571" s="304">
        <f t="shared" ca="1" si="245"/>
        <v>105.15616635165631</v>
      </c>
      <c r="J571" s="306">
        <f t="shared" ca="1" si="246"/>
        <v>745.87074281998321</v>
      </c>
      <c r="K571" s="307">
        <f t="shared" ca="1" si="247"/>
        <v>-9.2034519426196919</v>
      </c>
      <c r="L571" s="304">
        <f t="shared" ca="1" si="232"/>
        <v>745.92752229857672</v>
      </c>
      <c r="M571" s="306">
        <f t="shared" ca="1" si="248"/>
        <v>-1.5118207443663245</v>
      </c>
      <c r="N571" s="304">
        <f t="shared" ca="1" si="249"/>
        <v>-86.620948032516921</v>
      </c>
      <c r="P571" s="310">
        <f t="shared" ca="1" si="250"/>
        <v>23</v>
      </c>
      <c r="Q571" s="304">
        <f t="shared" ca="1" si="251"/>
        <v>0</v>
      </c>
      <c r="R571" s="306">
        <f t="shared" ca="1" si="252"/>
        <v>0</v>
      </c>
      <c r="S571" s="307">
        <f t="shared" ca="1" si="253"/>
        <v>2.9792999999999985</v>
      </c>
      <c r="T571" s="304">
        <f t="shared" ca="1" si="233"/>
        <v>29.226932999999988</v>
      </c>
      <c r="U571" s="311">
        <f t="shared" ca="1" si="234"/>
        <v>0</v>
      </c>
      <c r="V571" s="306">
        <f t="shared" ca="1" si="235"/>
        <v>1.2261279419109297</v>
      </c>
      <c r="W571" s="304">
        <f t="shared" ca="1" si="236"/>
        <v>27.763751496887274</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0.47407850301840249</v>
      </c>
      <c r="AH571" s="304">
        <f t="shared" ca="1" si="260"/>
        <v>-9.3188659479634595</v>
      </c>
    </row>
    <row r="572" spans="1:34" x14ac:dyDescent="0.2">
      <c r="A572" s="347">
        <f t="shared" ca="1" si="238"/>
        <v>1E-4</v>
      </c>
      <c r="B572" s="304">
        <f t="shared" ca="1" si="239"/>
        <v>36.805200000000383</v>
      </c>
      <c r="D572" s="306">
        <f t="shared" ca="1" si="240"/>
        <v>-0.54926808674337246</v>
      </c>
      <c r="E572" s="307">
        <f t="shared" ca="1" si="241"/>
        <v>-0.50731726598914584</v>
      </c>
      <c r="F572" s="304">
        <f t="shared" ca="1" si="242"/>
        <v>0.74770732207557433</v>
      </c>
      <c r="G572" s="306">
        <f t="shared" ca="1" si="243"/>
        <v>6.1979968439897695</v>
      </c>
      <c r="H572" s="307">
        <f t="shared" ca="1" si="244"/>
        <v>-104.97339723465427</v>
      </c>
      <c r="I572" s="304">
        <f t="shared" ca="1" si="245"/>
        <v>105.15621375773583</v>
      </c>
      <c r="J572" s="306">
        <f t="shared" ca="1" si="246"/>
        <v>745.87074281998321</v>
      </c>
      <c r="K572" s="307">
        <f t="shared" ca="1" si="247"/>
        <v>-9.2139492798065703</v>
      </c>
      <c r="L572" s="304">
        <f t="shared" ca="1" si="232"/>
        <v>745.92765189136435</v>
      </c>
      <c r="M572" s="306">
        <f t="shared" ca="1" si="248"/>
        <v>-1.5118212942293554</v>
      </c>
      <c r="N572" s="304">
        <f t="shared" ca="1" si="249"/>
        <v>-86.620979537347907</v>
      </c>
      <c r="P572" s="310">
        <f t="shared" ca="1" si="250"/>
        <v>23</v>
      </c>
      <c r="Q572" s="304">
        <f t="shared" ca="1" si="251"/>
        <v>0</v>
      </c>
      <c r="R572" s="306">
        <f t="shared" ca="1" si="252"/>
        <v>0</v>
      </c>
      <c r="S572" s="307">
        <f t="shared" ca="1" si="253"/>
        <v>2.9792999999999985</v>
      </c>
      <c r="T572" s="304">
        <f t="shared" ca="1" si="233"/>
        <v>29.226932999999988</v>
      </c>
      <c r="U572" s="311">
        <f t="shared" ca="1" si="234"/>
        <v>0</v>
      </c>
      <c r="V572" s="306">
        <f t="shared" ca="1" si="235"/>
        <v>1.2261292290197219</v>
      </c>
      <c r="W572" s="304">
        <f t="shared" ca="1" si="236"/>
        <v>27.763805674172094</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0.47406063611341054</v>
      </c>
      <c r="AH572" s="304">
        <f t="shared" ca="1" si="260"/>
        <v>-9.3188841328121672</v>
      </c>
    </row>
    <row r="573" spans="1:34" x14ac:dyDescent="0.2">
      <c r="A573" s="347">
        <f t="shared" ca="1" si="238"/>
        <v>1E-4</v>
      </c>
      <c r="B573" s="304">
        <f t="shared" ca="1" si="239"/>
        <v>36.805300000000386</v>
      </c>
      <c r="D573" s="306">
        <f t="shared" ca="1" si="240"/>
        <v>-0.54926404335592649</v>
      </c>
      <c r="E573" s="307">
        <f t="shared" ca="1" si="241"/>
        <v>-0.50729881101417007</v>
      </c>
      <c r="F573" s="304">
        <f t="shared" ca="1" si="242"/>
        <v>0.74769183022157715</v>
      </c>
      <c r="G573" s="306">
        <f t="shared" ca="1" si="243"/>
        <v>6.1979419175854336</v>
      </c>
      <c r="H573" s="307">
        <f t="shared" ca="1" si="244"/>
        <v>-104.97344796453537</v>
      </c>
      <c r="I573" s="304">
        <f t="shared" ca="1" si="245"/>
        <v>105.15626116202866</v>
      </c>
      <c r="J573" s="306">
        <f t="shared" ca="1" si="246"/>
        <v>745.87074281998321</v>
      </c>
      <c r="K573" s="307">
        <f t="shared" ca="1" si="247"/>
        <v>-9.2244466220665302</v>
      </c>
      <c r="L573" s="304">
        <f t="shared" ca="1" si="232"/>
        <v>745.92778163191974</v>
      </c>
      <c r="M573" s="306">
        <f t="shared" ca="1" si="248"/>
        <v>-1.5118218440870175</v>
      </c>
      <c r="N573" s="304">
        <f t="shared" ca="1" si="249"/>
        <v>-86.62101104187127</v>
      </c>
      <c r="P573" s="310">
        <f t="shared" ca="1" si="250"/>
        <v>23</v>
      </c>
      <c r="Q573" s="304">
        <f t="shared" ca="1" si="251"/>
        <v>0</v>
      </c>
      <c r="R573" s="306">
        <f t="shared" ca="1" si="252"/>
        <v>0</v>
      </c>
      <c r="S573" s="307">
        <f t="shared" ca="1" si="253"/>
        <v>2.9792999999999985</v>
      </c>
      <c r="T573" s="304">
        <f t="shared" ca="1" si="233"/>
        <v>29.226932999999988</v>
      </c>
      <c r="U573" s="311">
        <f t="shared" ca="1" si="234"/>
        <v>0</v>
      </c>
      <c r="V573" s="306">
        <f t="shared" ca="1" si="235"/>
        <v>1.2261305161304881</v>
      </c>
      <c r="W573" s="304">
        <f t="shared" ca="1" si="236"/>
        <v>27.763859850621991</v>
      </c>
      <c r="Y573" s="314" t="str">
        <f t="shared" ca="1" si="254"/>
        <v/>
      </c>
      <c r="Z573" s="315" t="str">
        <f t="shared" ca="1" si="255"/>
        <v/>
      </c>
      <c r="AA573" s="316" t="str">
        <f t="shared" ca="1" si="256"/>
        <v/>
      </c>
      <c r="AC573" s="310" t="e">
        <f t="shared" ca="1" si="257"/>
        <v>#N/A</v>
      </c>
      <c r="AD573" s="323" t="e">
        <f t="shared" ca="1" si="258"/>
        <v>#N/A</v>
      </c>
      <c r="AE573" s="324" t="e">
        <f t="shared" ca="1" si="237"/>
        <v>#N/A</v>
      </c>
      <c r="AG573" s="306">
        <f t="shared" ca="1" si="259"/>
        <v>0.47404276948259927</v>
      </c>
      <c r="AH573" s="304">
        <f t="shared" ca="1" si="260"/>
        <v>-9.3189023173806298</v>
      </c>
    </row>
    <row r="574" spans="1:34" x14ac:dyDescent="0.2">
      <c r="A574" s="347">
        <f t="shared" ca="1" si="238"/>
        <v>1E-4</v>
      </c>
      <c r="B574" s="304">
        <f t="shared" ca="1" si="239"/>
        <v>36.80540000000039</v>
      </c>
      <c r="D574" s="306">
        <f t="shared" ca="1" si="240"/>
        <v>-0.54925999998177821</v>
      </c>
      <c r="E574" s="307">
        <f t="shared" ca="1" si="241"/>
        <v>-0.50728035632353219</v>
      </c>
      <c r="F574" s="304">
        <f t="shared" ca="1" si="242"/>
        <v>0.74767633872666639</v>
      </c>
      <c r="G574" s="306">
        <f t="shared" ca="1" si="243"/>
        <v>6.1978869915854355</v>
      </c>
      <c r="H574" s="307">
        <f t="shared" ca="1" si="244"/>
        <v>-104.973498692571</v>
      </c>
      <c r="I574" s="304">
        <f t="shared" ca="1" si="245"/>
        <v>105.15630856453487</v>
      </c>
      <c r="J574" s="306">
        <f t="shared" ca="1" si="246"/>
        <v>745.87074281998321</v>
      </c>
      <c r="K574" s="307">
        <f t="shared" ca="1" si="247"/>
        <v>-9.2349439693993851</v>
      </c>
      <c r="L574" s="304">
        <f t="shared" ca="1" si="232"/>
        <v>745.92791152024301</v>
      </c>
      <c r="M574" s="306">
        <f t="shared" ca="1" si="248"/>
        <v>-1.5118223939393112</v>
      </c>
      <c r="N574" s="304">
        <f t="shared" ca="1" si="249"/>
        <v>-86.621042546087054</v>
      </c>
      <c r="P574" s="310">
        <f t="shared" ca="1" si="250"/>
        <v>23</v>
      </c>
      <c r="Q574" s="304">
        <f t="shared" ca="1" si="251"/>
        <v>0</v>
      </c>
      <c r="R574" s="306">
        <f t="shared" ca="1" si="252"/>
        <v>0</v>
      </c>
      <c r="S574" s="307">
        <f t="shared" ca="1" si="253"/>
        <v>2.9792999999999985</v>
      </c>
      <c r="T574" s="304">
        <f t="shared" ca="1" si="233"/>
        <v>29.226932999999988</v>
      </c>
      <c r="U574" s="311">
        <f t="shared" ca="1" si="234"/>
        <v>0</v>
      </c>
      <c r="V574" s="306">
        <f t="shared" ca="1" si="235"/>
        <v>1.2261318032432285</v>
      </c>
      <c r="W574" s="304">
        <f t="shared" ca="1" si="236"/>
        <v>27.763914026237003</v>
      </c>
      <c r="Y574" s="314" t="str">
        <f t="shared" ca="1" si="254"/>
        <v/>
      </c>
      <c r="Z574" s="315" t="str">
        <f t="shared" ca="1" si="255"/>
        <v/>
      </c>
      <c r="AA574" s="316" t="str">
        <f t="shared" ca="1" si="256"/>
        <v/>
      </c>
      <c r="AC574" s="310" t="e">
        <f t="shared" ca="1" si="257"/>
        <v>#N/A</v>
      </c>
      <c r="AD574" s="323" t="e">
        <f t="shared" ca="1" si="258"/>
        <v>#N/A</v>
      </c>
      <c r="AE574" s="324" t="e">
        <f t="shared" ca="1" si="237"/>
        <v>#N/A</v>
      </c>
      <c r="AG574" s="306">
        <f t="shared" ca="1" si="259"/>
        <v>0.47402490312596512</v>
      </c>
      <c r="AH574" s="304">
        <f t="shared" ca="1" si="260"/>
        <v>-9.3189205016688508</v>
      </c>
    </row>
    <row r="575" spans="1:34" x14ac:dyDescent="0.2">
      <c r="A575" s="347">
        <f t="shared" ca="1" si="238"/>
        <v>1E-4</v>
      </c>
      <c r="B575" s="304">
        <f t="shared" ca="1" si="239"/>
        <v>36.805500000000393</v>
      </c>
      <c r="D575" s="306">
        <f t="shared" ca="1" si="240"/>
        <v>-0.54925595662092497</v>
      </c>
      <c r="E575" s="307">
        <f t="shared" ca="1" si="241"/>
        <v>-0.50726190191721798</v>
      </c>
      <c r="F575" s="304">
        <f t="shared" ca="1" si="242"/>
        <v>0.74766084759083162</v>
      </c>
      <c r="G575" s="306">
        <f t="shared" ca="1" si="243"/>
        <v>6.1978320659897737</v>
      </c>
      <c r="H575" s="307">
        <f t="shared" ca="1" si="244"/>
        <v>-104.97354941876119</v>
      </c>
      <c r="I575" s="304">
        <f t="shared" ca="1" si="245"/>
        <v>105.15635596525446</v>
      </c>
      <c r="J575" s="306">
        <f t="shared" ca="1" si="246"/>
        <v>745.87074281998321</v>
      </c>
      <c r="K575" s="307">
        <f t="shared" ca="1" si="247"/>
        <v>-9.245441321804952</v>
      </c>
      <c r="L575" s="304">
        <f t="shared" ca="1" si="232"/>
        <v>745.92804155633439</v>
      </c>
      <c r="M575" s="306">
        <f t="shared" ca="1" si="248"/>
        <v>-1.5118229437862363</v>
      </c>
      <c r="N575" s="304">
        <f t="shared" ca="1" si="249"/>
        <v>-86.621074049995244</v>
      </c>
      <c r="P575" s="310">
        <f t="shared" ca="1" si="250"/>
        <v>23</v>
      </c>
      <c r="Q575" s="304">
        <f t="shared" ca="1" si="251"/>
        <v>0</v>
      </c>
      <c r="R575" s="306">
        <f t="shared" ca="1" si="252"/>
        <v>0</v>
      </c>
      <c r="S575" s="307">
        <f t="shared" ca="1" si="253"/>
        <v>2.9792999999999985</v>
      </c>
      <c r="T575" s="304">
        <f t="shared" ca="1" si="233"/>
        <v>29.226932999999988</v>
      </c>
      <c r="U575" s="311">
        <f t="shared" ca="1" si="234"/>
        <v>0</v>
      </c>
      <c r="V575" s="306">
        <f t="shared" ca="1" si="235"/>
        <v>1.2261330903579417</v>
      </c>
      <c r="W575" s="304">
        <f t="shared" ca="1" si="236"/>
        <v>27.763968201017097</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0.4740070370434939</v>
      </c>
      <c r="AH575" s="304">
        <f t="shared" ca="1" si="260"/>
        <v>-9.3189386856768426</v>
      </c>
    </row>
    <row r="576" spans="1:34" x14ac:dyDescent="0.2">
      <c r="A576" s="347">
        <f t="shared" ca="1" si="238"/>
        <v>1E-4</v>
      </c>
      <c r="B576" s="304">
        <f t="shared" ca="1" si="239"/>
        <v>36.805600000000396</v>
      </c>
      <c r="D576" s="306">
        <f t="shared" ca="1" si="240"/>
        <v>-0.54925191327336909</v>
      </c>
      <c r="E576" s="307">
        <f t="shared" ca="1" si="241"/>
        <v>-0.50724344779523811</v>
      </c>
      <c r="F576" s="304">
        <f t="shared" ca="1" si="242"/>
        <v>0.74764535681408262</v>
      </c>
      <c r="G576" s="306">
        <f t="shared" ca="1" si="243"/>
        <v>6.1977771407984461</v>
      </c>
      <c r="H576" s="307">
        <f t="shared" ca="1" si="244"/>
        <v>-104.97360014310597</v>
      </c>
      <c r="I576" s="304">
        <f t="shared" ca="1" si="245"/>
        <v>105.15640336418748</v>
      </c>
      <c r="J576" s="306">
        <f t="shared" ca="1" si="246"/>
        <v>745.87074281998321</v>
      </c>
      <c r="K576" s="307">
        <f t="shared" ca="1" si="247"/>
        <v>-9.2559386792830463</v>
      </c>
      <c r="L576" s="304">
        <f t="shared" ca="1" si="232"/>
        <v>745.92817174019387</v>
      </c>
      <c r="M576" s="306">
        <f t="shared" ca="1" si="248"/>
        <v>-1.511823493627793</v>
      </c>
      <c r="N576" s="304">
        <f t="shared" ca="1" si="249"/>
        <v>-86.621105553595839</v>
      </c>
      <c r="P576" s="310">
        <f t="shared" ca="1" si="250"/>
        <v>23</v>
      </c>
      <c r="Q576" s="304">
        <f t="shared" ca="1" si="251"/>
        <v>0</v>
      </c>
      <c r="R576" s="306">
        <f t="shared" ca="1" si="252"/>
        <v>0</v>
      </c>
      <c r="S576" s="307">
        <f t="shared" ca="1" si="253"/>
        <v>2.9792999999999985</v>
      </c>
      <c r="T576" s="304">
        <f t="shared" ca="1" si="233"/>
        <v>29.226932999999988</v>
      </c>
      <c r="U576" s="311">
        <f t="shared" ca="1" si="234"/>
        <v>0</v>
      </c>
      <c r="V576" s="306">
        <f t="shared" ca="1" si="235"/>
        <v>1.2261343774746294</v>
      </c>
      <c r="W576" s="304">
        <f t="shared" ca="1" si="236"/>
        <v>27.764022374962334</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0.47398917123519801</v>
      </c>
      <c r="AH576" s="304">
        <f t="shared" ca="1" si="260"/>
        <v>-9.3189568694045946</v>
      </c>
    </row>
    <row r="577" spans="1:34" x14ac:dyDescent="0.2">
      <c r="A577" s="347">
        <f t="shared" ca="1" si="238"/>
        <v>1E-4</v>
      </c>
      <c r="B577" s="304">
        <f t="shared" ca="1" si="239"/>
        <v>36.8057000000004</v>
      </c>
      <c r="D577" s="306">
        <f t="shared" ca="1" si="240"/>
        <v>-0.54924786993911046</v>
      </c>
      <c r="E577" s="307">
        <f t="shared" ca="1" si="241"/>
        <v>-0.50722499395757126</v>
      </c>
      <c r="F577" s="304">
        <f t="shared" ca="1" si="242"/>
        <v>0.74762986639640627</v>
      </c>
      <c r="G577" s="306">
        <f t="shared" ca="1" si="243"/>
        <v>6.197722216011452</v>
      </c>
      <c r="H577" s="307">
        <f t="shared" ca="1" si="244"/>
        <v>-104.97365086560536</v>
      </c>
      <c r="I577" s="304">
        <f t="shared" ca="1" si="245"/>
        <v>105.15645076133396</v>
      </c>
      <c r="J577" s="306">
        <f t="shared" ca="1" si="246"/>
        <v>745.87074281998321</v>
      </c>
      <c r="K577" s="307">
        <f t="shared" ca="1" si="247"/>
        <v>-9.2664360418334812</v>
      </c>
      <c r="L577" s="304">
        <f t="shared" ca="1" si="232"/>
        <v>745.92830207182169</v>
      </c>
      <c r="M577" s="306">
        <f t="shared" ca="1" si="248"/>
        <v>-1.5118240434639814</v>
      </c>
      <c r="N577" s="304">
        <f t="shared" ca="1" si="249"/>
        <v>-86.621137056888855</v>
      </c>
      <c r="P577" s="310">
        <f t="shared" ca="1" si="250"/>
        <v>23</v>
      </c>
      <c r="Q577" s="304">
        <f t="shared" ca="1" si="251"/>
        <v>0</v>
      </c>
      <c r="R577" s="306">
        <f t="shared" ca="1" si="252"/>
        <v>0</v>
      </c>
      <c r="S577" s="307">
        <f t="shared" ca="1" si="253"/>
        <v>2.9792999999999985</v>
      </c>
      <c r="T577" s="304">
        <f t="shared" ca="1" si="233"/>
        <v>29.226932999999988</v>
      </c>
      <c r="U577" s="311">
        <f t="shared" ca="1" si="234"/>
        <v>0</v>
      </c>
      <c r="V577" s="306">
        <f t="shared" ca="1" si="235"/>
        <v>1.2261356645932908</v>
      </c>
      <c r="W577" s="304">
        <f t="shared" ca="1" si="236"/>
        <v>27.764076548072691</v>
      </c>
      <c r="Y577" s="314" t="str">
        <f t="shared" ca="1" si="254"/>
        <v/>
      </c>
      <c r="Z577" s="315" t="str">
        <f t="shared" ca="1" si="255"/>
        <v/>
      </c>
      <c r="AA577" s="316" t="str">
        <f t="shared" ca="1" si="256"/>
        <v/>
      </c>
      <c r="AC577" s="310" t="e">
        <f t="shared" ca="1" si="257"/>
        <v>#N/A</v>
      </c>
      <c r="AD577" s="323" t="e">
        <f t="shared" ca="1" si="258"/>
        <v>#N/A</v>
      </c>
      <c r="AE577" s="324" t="e">
        <f t="shared" ca="1" si="237"/>
        <v>#N/A</v>
      </c>
      <c r="AG577" s="306">
        <f t="shared" ca="1" si="259"/>
        <v>0.47397130570105439</v>
      </c>
      <c r="AH577" s="304">
        <f t="shared" ca="1" si="260"/>
        <v>-9.3189750528521298</v>
      </c>
    </row>
    <row r="578" spans="1:34" x14ac:dyDescent="0.2">
      <c r="A578" s="347">
        <f t="shared" ca="1" si="238"/>
        <v>1E-4</v>
      </c>
      <c r="B578" s="304">
        <f t="shared" ca="1" si="239"/>
        <v>36.805800000000403</v>
      </c>
      <c r="D578" s="306">
        <f t="shared" ca="1" si="240"/>
        <v>-0.5492438266181493</v>
      </c>
      <c r="E578" s="307">
        <f t="shared" ca="1" si="241"/>
        <v>-0.50720654040422986</v>
      </c>
      <c r="F578" s="304">
        <f t="shared" ca="1" si="242"/>
        <v>0.7476143763378118</v>
      </c>
      <c r="G578" s="306">
        <f t="shared" ca="1" si="243"/>
        <v>6.1976672916287905</v>
      </c>
      <c r="H578" s="307">
        <f t="shared" ca="1" si="244"/>
        <v>-104.97370158625941</v>
      </c>
      <c r="I578" s="304">
        <f t="shared" ca="1" si="245"/>
        <v>105.1564981566939</v>
      </c>
      <c r="J578" s="306">
        <f t="shared" ca="1" si="246"/>
        <v>745.87074281998321</v>
      </c>
      <c r="K578" s="307">
        <f t="shared" ca="1" si="247"/>
        <v>-9.276933409456074</v>
      </c>
      <c r="L578" s="304">
        <f t="shared" ca="1" si="232"/>
        <v>745.92843255121807</v>
      </c>
      <c r="M578" s="306">
        <f t="shared" ca="1" si="248"/>
        <v>-1.5118245932948013</v>
      </c>
      <c r="N578" s="304">
        <f t="shared" ca="1" si="249"/>
        <v>-86.621168559874292</v>
      </c>
      <c r="P578" s="310">
        <f t="shared" ca="1" si="250"/>
        <v>23</v>
      </c>
      <c r="Q578" s="304">
        <f t="shared" ca="1" si="251"/>
        <v>0</v>
      </c>
      <c r="R578" s="306">
        <f t="shared" ca="1" si="252"/>
        <v>0</v>
      </c>
      <c r="S578" s="307">
        <f t="shared" ca="1" si="253"/>
        <v>2.9792999999999985</v>
      </c>
      <c r="T578" s="304">
        <f t="shared" ca="1" si="233"/>
        <v>29.226932999999988</v>
      </c>
      <c r="U578" s="311">
        <f t="shared" ca="1" si="234"/>
        <v>0</v>
      </c>
      <c r="V578" s="306">
        <f t="shared" ca="1" si="235"/>
        <v>1.2261369517139253</v>
      </c>
      <c r="W578" s="304">
        <f t="shared" ca="1" si="236"/>
        <v>27.764130720348181</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0.47395344044107546</v>
      </c>
      <c r="AH578" s="304">
        <f t="shared" ca="1" si="260"/>
        <v>-9.3189932360194359</v>
      </c>
    </row>
    <row r="579" spans="1:34" x14ac:dyDescent="0.2">
      <c r="A579" s="347">
        <f t="shared" ca="1" si="238"/>
        <v>1E-4</v>
      </c>
      <c r="B579" s="304">
        <f t="shared" ca="1" si="239"/>
        <v>36.805900000000406</v>
      </c>
      <c r="D579" s="306">
        <f t="shared" ca="1" si="240"/>
        <v>-0.54923978331048662</v>
      </c>
      <c r="E579" s="307">
        <f t="shared" ca="1" si="241"/>
        <v>-0.50718808713520502</v>
      </c>
      <c r="F579" s="304">
        <f t="shared" ca="1" si="242"/>
        <v>0.74759888663829521</v>
      </c>
      <c r="G579" s="306">
        <f t="shared" ca="1" si="243"/>
        <v>6.1976123676504598</v>
      </c>
      <c r="H579" s="307">
        <f t="shared" ca="1" si="244"/>
        <v>-104.97375230506812</v>
      </c>
      <c r="I579" s="304">
        <f t="shared" ca="1" si="245"/>
        <v>105.15654555026732</v>
      </c>
      <c r="J579" s="306">
        <f t="shared" ca="1" si="246"/>
        <v>745.87074281998321</v>
      </c>
      <c r="K579" s="307">
        <f t="shared" ca="1" si="247"/>
        <v>-9.2874307821506399</v>
      </c>
      <c r="L579" s="304">
        <f t="shared" ca="1" si="232"/>
        <v>745.92856317838289</v>
      </c>
      <c r="M579" s="306">
        <f t="shared" ca="1" si="248"/>
        <v>-1.5118251431202532</v>
      </c>
      <c r="N579" s="304">
        <f t="shared" ca="1" si="249"/>
        <v>-86.621200062552148</v>
      </c>
      <c r="P579" s="310">
        <f t="shared" ca="1" si="250"/>
        <v>23</v>
      </c>
      <c r="Q579" s="304">
        <f t="shared" ca="1" si="251"/>
        <v>0</v>
      </c>
      <c r="R579" s="306">
        <f t="shared" ca="1" si="252"/>
        <v>0</v>
      </c>
      <c r="S579" s="307">
        <f t="shared" ca="1" si="253"/>
        <v>2.9792999999999985</v>
      </c>
      <c r="T579" s="304">
        <f t="shared" ca="1" si="233"/>
        <v>29.226932999999988</v>
      </c>
      <c r="U579" s="311">
        <f t="shared" ca="1" si="234"/>
        <v>0</v>
      </c>
      <c r="V579" s="306">
        <f t="shared" ca="1" si="235"/>
        <v>1.2261382388365341</v>
      </c>
      <c r="W579" s="304">
        <f t="shared" ca="1" si="236"/>
        <v>27.764184891788815</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0.47393557545525411</v>
      </c>
      <c r="AH579" s="304">
        <f t="shared" ca="1" si="260"/>
        <v>-9.3190114189065199</v>
      </c>
    </row>
    <row r="580" spans="1:34" x14ac:dyDescent="0.2">
      <c r="A580" s="347">
        <f t="shared" ca="1" si="238"/>
        <v>1E-4</v>
      </c>
      <c r="B580" s="304">
        <f t="shared" ca="1" si="239"/>
        <v>36.806000000000409</v>
      </c>
      <c r="D580" s="306">
        <f t="shared" ca="1" si="240"/>
        <v>-0.5492357400161213</v>
      </c>
      <c r="E580" s="307">
        <f t="shared" ca="1" si="241"/>
        <v>-0.50716963415049321</v>
      </c>
      <c r="F580" s="304">
        <f t="shared" ca="1" si="242"/>
        <v>0.74758339729785428</v>
      </c>
      <c r="G580" s="306">
        <f t="shared" ca="1" si="243"/>
        <v>6.197557444076458</v>
      </c>
      <c r="H580" s="307">
        <f t="shared" ca="1" si="244"/>
        <v>-104.97380302203153</v>
      </c>
      <c r="I580" s="304">
        <f t="shared" ca="1" si="245"/>
        <v>105.1565929420543</v>
      </c>
      <c r="J580" s="306">
        <f t="shared" ca="1" si="246"/>
        <v>745.87074281998321</v>
      </c>
      <c r="K580" s="307">
        <f t="shared" ca="1" si="247"/>
        <v>-9.2979281599169941</v>
      </c>
      <c r="L580" s="304">
        <f t="shared" ref="L580:L643" ca="1" si="261">SQRT(pos_x^2+pos_z^2)</f>
        <v>745.9286939533165</v>
      </c>
      <c r="M580" s="306">
        <f t="shared" ca="1" si="248"/>
        <v>-1.5118256929403369</v>
      </c>
      <c r="N580" s="304">
        <f t="shared" ca="1" si="249"/>
        <v>-86.621231564922439</v>
      </c>
      <c r="P580" s="310">
        <f t="shared" ca="1" si="250"/>
        <v>23</v>
      </c>
      <c r="Q580" s="304">
        <f t="shared" ca="1" si="251"/>
        <v>0</v>
      </c>
      <c r="R580" s="306">
        <f t="shared" ca="1" si="252"/>
        <v>0</v>
      </c>
      <c r="S580" s="307">
        <f t="shared" ca="1" si="253"/>
        <v>2.9792999999999985</v>
      </c>
      <c r="T580" s="304">
        <f t="shared" ref="T580:T643" ca="1" si="262">m*g</f>
        <v>29.226932999999988</v>
      </c>
      <c r="U580" s="311">
        <f t="shared" ref="U580:U643" ca="1" si="263">IF(pos_xz&lt;L_rampe,Poids*COS(Beta),0)</f>
        <v>0</v>
      </c>
      <c r="V580" s="306">
        <f t="shared" ref="V580:V643" ca="1" si="264">Rho_moyen*(20000-Alt_rampe-pos_z)/(20000+Alt_rampe+pos_z)</f>
        <v>1.2261395259611161</v>
      </c>
      <c r="W580" s="304">
        <f t="shared" ref="W580:W643" ca="1" si="265">1/2*Rho*Sref*Cx*vit_xz^2</f>
        <v>27.764239062394608</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0.4739177107435868</v>
      </c>
      <c r="AH580" s="304">
        <f t="shared" ca="1" si="260"/>
        <v>-9.3190296015133853</v>
      </c>
    </row>
    <row r="581" spans="1:34" x14ac:dyDescent="0.2">
      <c r="A581" s="347">
        <f t="shared" ref="A581:A644" ca="1" si="267">IF(B580+0.01&lt;=T_ini+ROUNDUP(Temps_fin_propu,0), 0.01, IF(K580&gt;0, 0.1, 0.0001))</f>
        <v>1E-4</v>
      </c>
      <c r="B581" s="304">
        <f t="shared" ref="B581:B644" ca="1" si="268">B580+pas</f>
        <v>36.806100000000413</v>
      </c>
      <c r="D581" s="306">
        <f t="shared" ref="D581:D644" ca="1" si="269">IF(AND(L580&lt;L_rampe,Poussee&lt;Poids*SIN(M580)),0,(-W580+Poussee)/m*COS(M580)-U580/m*SIN(M580))</f>
        <v>-0.54923169673505456</v>
      </c>
      <c r="E581" s="307">
        <f t="shared" ref="E581:E644" ca="1" si="270">IF(AND(L580&lt;L_rampe,Poussee&lt;Poids*SIN(M580)),0,(-W580+Poussee)/m*SIN(M580)+U580/m*COS(M580)-Poids/m)</f>
        <v>-0.50715118145009086</v>
      </c>
      <c r="F581" s="304">
        <f t="shared" ref="F581:F644" ca="1" si="271">SQRT(acc_x^2+acc_z^2)</f>
        <v>0.74756790831648856</v>
      </c>
      <c r="G581" s="306">
        <f t="shared" ref="G581:G644" ca="1" si="272">G580+acc_x*pas</f>
        <v>6.1975025209067844</v>
      </c>
      <c r="H581" s="307">
        <f t="shared" ref="H581:H644" ca="1" si="273">H580+acc_z*pas</f>
        <v>-104.97385373714968</v>
      </c>
      <c r="I581" s="304">
        <f t="shared" ref="I581:I644" ca="1" si="274">SQRT(vit_x^2+vit_z^2)</f>
        <v>105.15664033205482</v>
      </c>
      <c r="J581" s="306">
        <f t="shared" ref="J581:J644" ca="1" si="275">J580+0.5*(vit_x+G580)*pas*(K580&gt;=0)</f>
        <v>745.87074281998321</v>
      </c>
      <c r="K581" s="307">
        <f t="shared" ref="K581:K644" ca="1" si="276">K580+0.5*(vit_z+H580)*pas</f>
        <v>-9.3084255427549536</v>
      </c>
      <c r="L581" s="304">
        <f t="shared" ca="1" si="261"/>
        <v>745.92882487601889</v>
      </c>
      <c r="M581" s="306">
        <f t="shared" ref="M581:M644" ca="1" si="277">IF(AND(L580&gt;L_rampe,G581&gt;0),ATAN2(G581,H581),$M$4)</f>
        <v>-1.5118262427550524</v>
      </c>
      <c r="N581" s="304">
        <f t="shared" ref="N581:N644" ca="1" si="278">DEGREES(Beta)</f>
        <v>-86.621263066985151</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2.9792999999999985</v>
      </c>
      <c r="T581" s="304">
        <f t="shared" ca="1" si="262"/>
        <v>29.226932999999988</v>
      </c>
      <c r="U581" s="311">
        <f t="shared" ca="1" si="263"/>
        <v>0</v>
      </c>
      <c r="V581" s="306">
        <f t="shared" ca="1" si="264"/>
        <v>1.2261408130876719</v>
      </c>
      <c r="W581" s="304">
        <f t="shared" ca="1" si="265"/>
        <v>27.764293232165567</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0.47389984630606996</v>
      </c>
      <c r="AH581" s="304">
        <f t="shared" ref="AH581:AH644" ca="1" si="289">IF(AND(L580&lt;L_rampe,Poussee&lt;Poids*SIN(M580)), g*SIN(M580), (-W580+Poussee)/m)</f>
        <v>-9.3190477838400376</v>
      </c>
    </row>
    <row r="582" spans="1:34" x14ac:dyDescent="0.2">
      <c r="A582" s="347">
        <f t="shared" ca="1" si="267"/>
        <v>1E-4</v>
      </c>
      <c r="B582" s="304">
        <f t="shared" ca="1" si="268"/>
        <v>36.806200000000416</v>
      </c>
      <c r="D582" s="306">
        <f t="shared" ca="1" si="269"/>
        <v>-0.54922765346728719</v>
      </c>
      <c r="E582" s="307">
        <f t="shared" ca="1" si="270"/>
        <v>-0.5071327290339962</v>
      </c>
      <c r="F582" s="304">
        <f t="shared" ca="1" si="271"/>
        <v>0.7475524196941985</v>
      </c>
      <c r="G582" s="306">
        <f t="shared" ca="1" si="272"/>
        <v>6.1974475981414381</v>
      </c>
      <c r="H582" s="307">
        <f t="shared" ca="1" si="273"/>
        <v>-104.97390445042258</v>
      </c>
      <c r="I582" s="304">
        <f t="shared" ca="1" si="274"/>
        <v>105.15668772026892</v>
      </c>
      <c r="J582" s="306">
        <f t="shared" ca="1" si="275"/>
        <v>745.87074281998321</v>
      </c>
      <c r="K582" s="307">
        <f t="shared" ca="1" si="276"/>
        <v>-9.318922930664332</v>
      </c>
      <c r="L582" s="304">
        <f t="shared" ca="1" si="261"/>
        <v>745.9289559464903</v>
      </c>
      <c r="M582" s="306">
        <f t="shared" ca="1" si="277"/>
        <v>-1.5118267925643998</v>
      </c>
      <c r="N582" s="304">
        <f t="shared" ca="1" si="278"/>
        <v>-86.621294568740296</v>
      </c>
      <c r="P582" s="310">
        <f t="shared" ca="1" si="279"/>
        <v>23</v>
      </c>
      <c r="Q582" s="304">
        <f t="shared" ca="1" si="280"/>
        <v>0</v>
      </c>
      <c r="R582" s="306">
        <f t="shared" ca="1" si="281"/>
        <v>0</v>
      </c>
      <c r="S582" s="307">
        <f t="shared" ca="1" si="282"/>
        <v>2.9792999999999985</v>
      </c>
      <c r="T582" s="304">
        <f t="shared" ca="1" si="262"/>
        <v>29.226932999999988</v>
      </c>
      <c r="U582" s="311">
        <f t="shared" ca="1" si="263"/>
        <v>0</v>
      </c>
      <c r="V582" s="306">
        <f t="shared" ca="1" si="264"/>
        <v>1.226142100216201</v>
      </c>
      <c r="W582" s="304">
        <f t="shared" ca="1" si="265"/>
        <v>27.764347401101691</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0.47388198214270005</v>
      </c>
      <c r="AH582" s="304">
        <f t="shared" ca="1" si="289"/>
        <v>-9.3190659658864767</v>
      </c>
    </row>
    <row r="583" spans="1:34" x14ac:dyDescent="0.2">
      <c r="A583" s="347">
        <f t="shared" ca="1" si="267"/>
        <v>1E-4</v>
      </c>
      <c r="B583" s="304">
        <f t="shared" ca="1" si="268"/>
        <v>36.806300000000419</v>
      </c>
      <c r="D583" s="306">
        <f t="shared" ca="1" si="269"/>
        <v>-0.54922361021281996</v>
      </c>
      <c r="E583" s="307">
        <f t="shared" ca="1" si="270"/>
        <v>-0.50711427690220745</v>
      </c>
      <c r="F583" s="304">
        <f t="shared" ca="1" si="271"/>
        <v>0.74753693143098454</v>
      </c>
      <c r="G583" s="306">
        <f t="shared" ca="1" si="272"/>
        <v>6.1973926757804172</v>
      </c>
      <c r="H583" s="307">
        <f t="shared" ca="1" si="273"/>
        <v>-104.97395516185027</v>
      </c>
      <c r="I583" s="304">
        <f t="shared" ca="1" si="274"/>
        <v>105.15673510669664</v>
      </c>
      <c r="J583" s="306">
        <f t="shared" ca="1" si="275"/>
        <v>745.87074281998321</v>
      </c>
      <c r="K583" s="307">
        <f t="shared" ca="1" si="276"/>
        <v>-9.3294203236449462</v>
      </c>
      <c r="L583" s="304">
        <f t="shared" ca="1" si="261"/>
        <v>745.92908716473096</v>
      </c>
      <c r="M583" s="306">
        <f t="shared" ca="1" si="277"/>
        <v>-1.5118273423683792</v>
      </c>
      <c r="N583" s="304">
        <f t="shared" ca="1" si="278"/>
        <v>-86.621326070187877</v>
      </c>
      <c r="P583" s="310">
        <f t="shared" ca="1" si="279"/>
        <v>23</v>
      </c>
      <c r="Q583" s="304">
        <f t="shared" ca="1" si="280"/>
        <v>0</v>
      </c>
      <c r="R583" s="306">
        <f t="shared" ca="1" si="281"/>
        <v>0</v>
      </c>
      <c r="S583" s="307">
        <f t="shared" ca="1" si="282"/>
        <v>2.9792999999999985</v>
      </c>
      <c r="T583" s="304">
        <f t="shared" ca="1" si="262"/>
        <v>29.226932999999988</v>
      </c>
      <c r="U583" s="311">
        <f t="shared" ca="1" si="263"/>
        <v>0</v>
      </c>
      <c r="V583" s="306">
        <f t="shared" ca="1" si="264"/>
        <v>1.2261433873467038</v>
      </c>
      <c r="W583" s="304">
        <f t="shared" ca="1" si="265"/>
        <v>27.76440156920302</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0.47386411825347707</v>
      </c>
      <c r="AH583" s="304">
        <f t="shared" ca="1" si="289"/>
        <v>-9.3190841476527062</v>
      </c>
    </row>
    <row r="584" spans="1:34" x14ac:dyDescent="0.2">
      <c r="A584" s="347">
        <f t="shared" ca="1" si="267"/>
        <v>1E-4</v>
      </c>
      <c r="B584" s="304">
        <f t="shared" ca="1" si="268"/>
        <v>36.806400000000423</v>
      </c>
      <c r="D584" s="306">
        <f t="shared" ca="1" si="269"/>
        <v>-0.5492195669716522</v>
      </c>
      <c r="E584" s="307">
        <f t="shared" ca="1" si="270"/>
        <v>-0.50709582505471396</v>
      </c>
      <c r="F584" s="304">
        <f t="shared" ca="1" si="271"/>
        <v>0.74752144352683969</v>
      </c>
      <c r="G584" s="306">
        <f t="shared" ca="1" si="272"/>
        <v>6.19733775382372</v>
      </c>
      <c r="H584" s="307">
        <f t="shared" ca="1" si="273"/>
        <v>-104.97400587143278</v>
      </c>
      <c r="I584" s="304">
        <f t="shared" ca="1" si="274"/>
        <v>105.15678249133802</v>
      </c>
      <c r="J584" s="306">
        <f t="shared" ca="1" si="275"/>
        <v>745.87074281998321</v>
      </c>
      <c r="K584" s="307">
        <f t="shared" ca="1" si="276"/>
        <v>-9.3399177216966098</v>
      </c>
      <c r="L584" s="304">
        <f t="shared" ca="1" si="261"/>
        <v>745.92921853074074</v>
      </c>
      <c r="M584" s="306">
        <f t="shared" ca="1" si="277"/>
        <v>-1.511827892166991</v>
      </c>
      <c r="N584" s="304">
        <f t="shared" ca="1" si="278"/>
        <v>-86.62135757132792</v>
      </c>
      <c r="P584" s="310">
        <f t="shared" ca="1" si="279"/>
        <v>23</v>
      </c>
      <c r="Q584" s="304">
        <f t="shared" ca="1" si="280"/>
        <v>0</v>
      </c>
      <c r="R584" s="306">
        <f t="shared" ca="1" si="281"/>
        <v>0</v>
      </c>
      <c r="S584" s="307">
        <f t="shared" ca="1" si="282"/>
        <v>2.9792999999999985</v>
      </c>
      <c r="T584" s="304">
        <f t="shared" ca="1" si="262"/>
        <v>29.226932999999988</v>
      </c>
      <c r="U584" s="311">
        <f t="shared" ca="1" si="263"/>
        <v>0</v>
      </c>
      <c r="V584" s="306">
        <f t="shared" ca="1" si="264"/>
        <v>1.2261446744791806</v>
      </c>
      <c r="W584" s="304">
        <f t="shared" ca="1" si="265"/>
        <v>27.76445573646955</v>
      </c>
      <c r="Y584" s="314" t="str">
        <f t="shared" ca="1" si="283"/>
        <v/>
      </c>
      <c r="Z584" s="315" t="str">
        <f t="shared" ca="1" si="284"/>
        <v/>
      </c>
      <c r="AA584" s="316" t="str">
        <f t="shared" ca="1" si="285"/>
        <v/>
      </c>
      <c r="AC584" s="310" t="e">
        <f t="shared" ca="1" si="286"/>
        <v>#N/A</v>
      </c>
      <c r="AD584" s="323" t="e">
        <f t="shared" ca="1" si="287"/>
        <v>#N/A</v>
      </c>
      <c r="AE584" s="324" t="e">
        <f t="shared" ca="1" si="266"/>
        <v>#N/A</v>
      </c>
      <c r="AG584" s="306">
        <f t="shared" ca="1" si="288"/>
        <v>0.47384625463839036</v>
      </c>
      <c r="AH584" s="304">
        <f t="shared" ca="1" si="289"/>
        <v>-9.3191023291387349</v>
      </c>
    </row>
    <row r="585" spans="1:34" x14ac:dyDescent="0.2">
      <c r="A585" s="347">
        <f t="shared" ca="1" si="267"/>
        <v>1E-4</v>
      </c>
      <c r="B585" s="304">
        <f t="shared" ca="1" si="268"/>
        <v>36.806500000000426</v>
      </c>
      <c r="D585" s="306">
        <f t="shared" ca="1" si="269"/>
        <v>-0.54921552374378269</v>
      </c>
      <c r="E585" s="307">
        <f t="shared" ca="1" si="270"/>
        <v>-0.50707737349151394</v>
      </c>
      <c r="F585" s="304">
        <f t="shared" ca="1" si="271"/>
        <v>0.74750595598176339</v>
      </c>
      <c r="G585" s="306">
        <f t="shared" ca="1" si="272"/>
        <v>6.1972828322713456</v>
      </c>
      <c r="H585" s="307">
        <f t="shared" ca="1" si="273"/>
        <v>-104.97405657917012</v>
      </c>
      <c r="I585" s="304">
        <f t="shared" ca="1" si="274"/>
        <v>105.15682987419302</v>
      </c>
      <c r="J585" s="306">
        <f t="shared" ca="1" si="275"/>
        <v>745.87074281998321</v>
      </c>
      <c r="K585" s="307">
        <f t="shared" ca="1" si="276"/>
        <v>-9.3504151248191398</v>
      </c>
      <c r="L585" s="304">
        <f t="shared" ca="1" si="261"/>
        <v>745.92935004451999</v>
      </c>
      <c r="M585" s="306">
        <f t="shared" ca="1" si="277"/>
        <v>-1.5118284419602346</v>
      </c>
      <c r="N585" s="304">
        <f t="shared" ca="1" si="278"/>
        <v>-86.621389072160383</v>
      </c>
      <c r="P585" s="310">
        <f t="shared" ca="1" si="279"/>
        <v>23</v>
      </c>
      <c r="Q585" s="304">
        <f t="shared" ca="1" si="280"/>
        <v>0</v>
      </c>
      <c r="R585" s="306">
        <f t="shared" ca="1" si="281"/>
        <v>0</v>
      </c>
      <c r="S585" s="307">
        <f t="shared" ca="1" si="282"/>
        <v>2.9792999999999985</v>
      </c>
      <c r="T585" s="304">
        <f t="shared" ca="1" si="262"/>
        <v>29.226932999999988</v>
      </c>
      <c r="U585" s="311">
        <f t="shared" ca="1" si="263"/>
        <v>0</v>
      </c>
      <c r="V585" s="306">
        <f t="shared" ca="1" si="264"/>
        <v>1.2261459616136308</v>
      </c>
      <c r="W585" s="304">
        <f t="shared" ca="1" si="265"/>
        <v>27.764509902901263</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0.47382839129743815</v>
      </c>
      <c r="AH585" s="304">
        <f t="shared" ca="1" si="289"/>
        <v>-9.3191205103445647</v>
      </c>
    </row>
    <row r="586" spans="1:34" x14ac:dyDescent="0.2">
      <c r="A586" s="347">
        <f t="shared" ca="1" si="267"/>
        <v>1E-4</v>
      </c>
      <c r="B586" s="304">
        <f t="shared" ca="1" si="268"/>
        <v>36.806600000000429</v>
      </c>
      <c r="D586" s="306">
        <f t="shared" ca="1" si="269"/>
        <v>-0.54921148052921609</v>
      </c>
      <c r="E586" s="307">
        <f t="shared" ca="1" si="270"/>
        <v>-0.50705892221261273</v>
      </c>
      <c r="F586" s="304">
        <f t="shared" ca="1" si="271"/>
        <v>0.74749046879576331</v>
      </c>
      <c r="G586" s="306">
        <f t="shared" ca="1" si="272"/>
        <v>6.1972279111232931</v>
      </c>
      <c r="H586" s="307">
        <f t="shared" ca="1" si="273"/>
        <v>-104.97410728506235</v>
      </c>
      <c r="I586" s="304">
        <f t="shared" ca="1" si="274"/>
        <v>105.15687725526175</v>
      </c>
      <c r="J586" s="306">
        <f t="shared" ca="1" si="275"/>
        <v>745.87074281998321</v>
      </c>
      <c r="K586" s="307">
        <f t="shared" ca="1" si="276"/>
        <v>-9.3609125330123515</v>
      </c>
      <c r="L586" s="304">
        <f t="shared" ca="1" si="261"/>
        <v>745.9294817060686</v>
      </c>
      <c r="M586" s="306">
        <f t="shared" ca="1" si="277"/>
        <v>-1.5118289917481107</v>
      </c>
      <c r="N586" s="304">
        <f t="shared" ca="1" si="278"/>
        <v>-86.621420572685309</v>
      </c>
      <c r="P586" s="310">
        <f t="shared" ca="1" si="279"/>
        <v>23</v>
      </c>
      <c r="Q586" s="304">
        <f t="shared" ca="1" si="280"/>
        <v>0</v>
      </c>
      <c r="R586" s="306">
        <f t="shared" ca="1" si="281"/>
        <v>0</v>
      </c>
      <c r="S586" s="307">
        <f t="shared" ca="1" si="282"/>
        <v>2.9792999999999985</v>
      </c>
      <c r="T586" s="304">
        <f t="shared" ca="1" si="262"/>
        <v>29.226932999999988</v>
      </c>
      <c r="U586" s="311">
        <f t="shared" ca="1" si="263"/>
        <v>0</v>
      </c>
      <c r="V586" s="306">
        <f t="shared" ca="1" si="264"/>
        <v>1.226147248750054</v>
      </c>
      <c r="W586" s="304">
        <f t="shared" ca="1" si="265"/>
        <v>27.764564068498203</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0.4738105282306293</v>
      </c>
      <c r="AH586" s="304">
        <f t="shared" ca="1" si="289"/>
        <v>-9.3191386912701901</v>
      </c>
    </row>
    <row r="587" spans="1:34" x14ac:dyDescent="0.2">
      <c r="A587" s="347">
        <f t="shared" ca="1" si="267"/>
        <v>1E-4</v>
      </c>
      <c r="B587" s="304">
        <f t="shared" ca="1" si="268"/>
        <v>36.806700000000433</v>
      </c>
      <c r="D587" s="306">
        <f t="shared" ca="1" si="269"/>
        <v>-0.54920743732794752</v>
      </c>
      <c r="E587" s="307">
        <f t="shared" ca="1" si="270"/>
        <v>-0.50704047121799789</v>
      </c>
      <c r="F587" s="304">
        <f t="shared" ca="1" si="271"/>
        <v>0.74747498196882867</v>
      </c>
      <c r="G587" s="306">
        <f t="shared" ca="1" si="272"/>
        <v>6.1971729903795607</v>
      </c>
      <c r="H587" s="307">
        <f t="shared" ca="1" si="273"/>
        <v>-104.97415798910947</v>
      </c>
      <c r="I587" s="304">
        <f t="shared" ca="1" si="274"/>
        <v>105.15692463454418</v>
      </c>
      <c r="J587" s="306">
        <f t="shared" ca="1" si="275"/>
        <v>745.87074281998321</v>
      </c>
      <c r="K587" s="307">
        <f t="shared" ca="1" si="276"/>
        <v>-9.3714099462760601</v>
      </c>
      <c r="L587" s="304">
        <f t="shared" ca="1" si="261"/>
        <v>745.92961351538702</v>
      </c>
      <c r="M587" s="306">
        <f t="shared" ca="1" si="277"/>
        <v>-1.5118295415306189</v>
      </c>
      <c r="N587" s="304">
        <f t="shared" ca="1" si="278"/>
        <v>-86.62145207290267</v>
      </c>
      <c r="P587" s="310">
        <f t="shared" ca="1" si="279"/>
        <v>23</v>
      </c>
      <c r="Q587" s="304">
        <f t="shared" ca="1" si="280"/>
        <v>0</v>
      </c>
      <c r="R587" s="306">
        <f t="shared" ca="1" si="281"/>
        <v>0</v>
      </c>
      <c r="S587" s="307">
        <f t="shared" ca="1" si="282"/>
        <v>2.9792999999999985</v>
      </c>
      <c r="T587" s="304">
        <f t="shared" ca="1" si="262"/>
        <v>29.226932999999988</v>
      </c>
      <c r="U587" s="311">
        <f t="shared" ca="1" si="263"/>
        <v>0</v>
      </c>
      <c r="V587" s="306">
        <f t="shared" ca="1" si="264"/>
        <v>1.2261485358884516</v>
      </c>
      <c r="W587" s="304">
        <f t="shared" ca="1" si="265"/>
        <v>27.764618233260379</v>
      </c>
      <c r="Y587" s="314" t="str">
        <f t="shared" ca="1" si="283"/>
        <v/>
      </c>
      <c r="Z587" s="315" t="str">
        <f t="shared" ca="1" si="284"/>
        <v/>
      </c>
      <c r="AA587" s="316" t="str">
        <f t="shared" ca="1" si="285"/>
        <v/>
      </c>
      <c r="AC587" s="310" t="e">
        <f t="shared" ca="1" si="286"/>
        <v>#N/A</v>
      </c>
      <c r="AD587" s="323" t="e">
        <f t="shared" ca="1" si="287"/>
        <v>#N/A</v>
      </c>
      <c r="AE587" s="324" t="e">
        <f t="shared" ca="1" si="266"/>
        <v>#N/A</v>
      </c>
      <c r="AG587" s="306">
        <f t="shared" ca="1" si="288"/>
        <v>0.47379266543794785</v>
      </c>
      <c r="AH587" s="304">
        <f t="shared" ca="1" si="289"/>
        <v>-9.3191568719156237</v>
      </c>
    </row>
    <row r="588" spans="1:34" x14ac:dyDescent="0.2">
      <c r="A588" s="347">
        <f t="shared" ca="1" si="267"/>
        <v>1E-4</v>
      </c>
      <c r="B588" s="304">
        <f t="shared" ca="1" si="268"/>
        <v>36.806800000000436</v>
      </c>
      <c r="D588" s="306">
        <f t="shared" ca="1" si="269"/>
        <v>-0.5492033941399822</v>
      </c>
      <c r="E588" s="307">
        <f t="shared" ca="1" si="270"/>
        <v>-0.50702202050766765</v>
      </c>
      <c r="F588" s="304">
        <f t="shared" ca="1" si="271"/>
        <v>0.74745949550096313</v>
      </c>
      <c r="G588" s="306">
        <f t="shared" ca="1" si="272"/>
        <v>6.1971180700401467</v>
      </c>
      <c r="H588" s="307">
        <f t="shared" ca="1" si="273"/>
        <v>-104.97420869131152</v>
      </c>
      <c r="I588" s="304">
        <f t="shared" ca="1" si="274"/>
        <v>105.15697201204037</v>
      </c>
      <c r="J588" s="306">
        <f t="shared" ca="1" si="275"/>
        <v>745.87074281998321</v>
      </c>
      <c r="K588" s="307">
        <f t="shared" ca="1" si="276"/>
        <v>-9.3819073646100808</v>
      </c>
      <c r="L588" s="304">
        <f t="shared" ca="1" si="261"/>
        <v>745.92974547247525</v>
      </c>
      <c r="M588" s="306">
        <f t="shared" ca="1" si="277"/>
        <v>-1.5118300913077594</v>
      </c>
      <c r="N588" s="304">
        <f t="shared" ca="1" si="278"/>
        <v>-86.621483572812494</v>
      </c>
      <c r="P588" s="310">
        <f t="shared" ca="1" si="279"/>
        <v>23</v>
      </c>
      <c r="Q588" s="304">
        <f t="shared" ca="1" si="280"/>
        <v>0</v>
      </c>
      <c r="R588" s="306">
        <f t="shared" ca="1" si="281"/>
        <v>0</v>
      </c>
      <c r="S588" s="307">
        <f t="shared" ca="1" si="282"/>
        <v>2.9792999999999985</v>
      </c>
      <c r="T588" s="304">
        <f t="shared" ca="1" si="262"/>
        <v>29.226932999999988</v>
      </c>
      <c r="U588" s="311">
        <f t="shared" ca="1" si="263"/>
        <v>0</v>
      </c>
      <c r="V588" s="306">
        <f t="shared" ca="1" si="264"/>
        <v>1.2261498230288221</v>
      </c>
      <c r="W588" s="304">
        <f t="shared" ca="1" si="265"/>
        <v>27.764672397187788</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0.47377480291938845</v>
      </c>
      <c r="AH588" s="304">
        <f t="shared" ca="1" si="289"/>
        <v>-9.319175052280869</v>
      </c>
    </row>
    <row r="589" spans="1:34" x14ac:dyDescent="0.2">
      <c r="A589" s="347">
        <f t="shared" ca="1" si="267"/>
        <v>1E-4</v>
      </c>
      <c r="B589" s="304">
        <f t="shared" ca="1" si="268"/>
        <v>36.806900000000439</v>
      </c>
      <c r="D589" s="306">
        <f t="shared" ca="1" si="269"/>
        <v>-0.54919935096531891</v>
      </c>
      <c r="E589" s="307">
        <f t="shared" ca="1" si="270"/>
        <v>-0.50700357008161845</v>
      </c>
      <c r="F589" s="304">
        <f t="shared" ca="1" si="271"/>
        <v>0.74744400939216449</v>
      </c>
      <c r="G589" s="306">
        <f t="shared" ca="1" si="272"/>
        <v>6.1970631501050502</v>
      </c>
      <c r="H589" s="307">
        <f t="shared" ca="1" si="273"/>
        <v>-104.97425939166853</v>
      </c>
      <c r="I589" s="304">
        <f t="shared" ca="1" si="274"/>
        <v>105.15701938775032</v>
      </c>
      <c r="J589" s="306">
        <f t="shared" ca="1" si="275"/>
        <v>745.87074281998321</v>
      </c>
      <c r="K589" s="307">
        <f t="shared" ca="1" si="276"/>
        <v>-9.392404788014229</v>
      </c>
      <c r="L589" s="304">
        <f t="shared" ca="1" si="261"/>
        <v>745.92987757733329</v>
      </c>
      <c r="M589" s="306">
        <f t="shared" ca="1" si="277"/>
        <v>-1.5118306410795324</v>
      </c>
      <c r="N589" s="304">
        <f t="shared" ca="1" si="278"/>
        <v>-86.62151507241478</v>
      </c>
      <c r="P589" s="310">
        <f t="shared" ca="1" si="279"/>
        <v>23</v>
      </c>
      <c r="Q589" s="304">
        <f t="shared" ca="1" si="280"/>
        <v>0</v>
      </c>
      <c r="R589" s="306">
        <f t="shared" ca="1" si="281"/>
        <v>0</v>
      </c>
      <c r="S589" s="307">
        <f t="shared" ca="1" si="282"/>
        <v>2.9792999999999985</v>
      </c>
      <c r="T589" s="304">
        <f t="shared" ca="1" si="262"/>
        <v>29.226932999999988</v>
      </c>
      <c r="U589" s="311">
        <f t="shared" ca="1" si="263"/>
        <v>0</v>
      </c>
      <c r="V589" s="306">
        <f t="shared" ca="1" si="264"/>
        <v>1.226151110171166</v>
      </c>
      <c r="W589" s="304">
        <f t="shared" ca="1" si="265"/>
        <v>27.764726560280426</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0.47375694067495822</v>
      </c>
      <c r="AH589" s="304">
        <f t="shared" ca="1" si="289"/>
        <v>-9.3191932323659259</v>
      </c>
    </row>
    <row r="590" spans="1:34" x14ac:dyDescent="0.2">
      <c r="A590" s="347">
        <f t="shared" ca="1" si="267"/>
        <v>1E-4</v>
      </c>
      <c r="B590" s="304">
        <f t="shared" ca="1" si="268"/>
        <v>36.807000000000443</v>
      </c>
      <c r="D590" s="306">
        <f t="shared" ca="1" si="269"/>
        <v>-0.54919530780395587</v>
      </c>
      <c r="E590" s="307">
        <f t="shared" ca="1" si="270"/>
        <v>-0.5069851199398574</v>
      </c>
      <c r="F590" s="304">
        <f t="shared" ca="1" si="271"/>
        <v>0.74742852364243728</v>
      </c>
      <c r="G590" s="306">
        <f t="shared" ca="1" si="272"/>
        <v>6.1970082305742702</v>
      </c>
      <c r="H590" s="307">
        <f t="shared" ca="1" si="273"/>
        <v>-104.97431009018052</v>
      </c>
      <c r="I590" s="304">
        <f t="shared" ca="1" si="274"/>
        <v>105.15706676167409</v>
      </c>
      <c r="J590" s="306">
        <f t="shared" ca="1" si="275"/>
        <v>745.87074281998321</v>
      </c>
      <c r="K590" s="307">
        <f t="shared" ca="1" si="276"/>
        <v>-9.4029022164883216</v>
      </c>
      <c r="L590" s="304">
        <f t="shared" ca="1" si="261"/>
        <v>745.93000982996136</v>
      </c>
      <c r="M590" s="306">
        <f t="shared" ca="1" si="277"/>
        <v>-1.5118311908459379</v>
      </c>
      <c r="N590" s="304">
        <f t="shared" ca="1" si="278"/>
        <v>-86.621546571709544</v>
      </c>
      <c r="P590" s="310">
        <f t="shared" ca="1" si="279"/>
        <v>23</v>
      </c>
      <c r="Q590" s="304">
        <f t="shared" ca="1" si="280"/>
        <v>0</v>
      </c>
      <c r="R590" s="306">
        <f t="shared" ca="1" si="281"/>
        <v>0</v>
      </c>
      <c r="S590" s="307">
        <f t="shared" ca="1" si="282"/>
        <v>2.9792999999999985</v>
      </c>
      <c r="T590" s="304">
        <f t="shared" ca="1" si="262"/>
        <v>29.226932999999988</v>
      </c>
      <c r="U590" s="311">
        <f t="shared" ca="1" si="263"/>
        <v>0</v>
      </c>
      <c r="V590" s="306">
        <f t="shared" ca="1" si="264"/>
        <v>1.2261523973154833</v>
      </c>
      <c r="W590" s="304">
        <f t="shared" ca="1" si="265"/>
        <v>27.76478072253833</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0.47373907870465537</v>
      </c>
      <c r="AH590" s="304">
        <f t="shared" ca="1" si="289"/>
        <v>-9.319211412170791</v>
      </c>
    </row>
    <row r="591" spans="1:34" x14ac:dyDescent="0.2">
      <c r="A591" s="347">
        <f t="shared" ca="1" si="267"/>
        <v>1E-4</v>
      </c>
      <c r="B591" s="304">
        <f t="shared" ca="1" si="268"/>
        <v>36.807100000000446</v>
      </c>
      <c r="D591" s="306">
        <f t="shared" ca="1" si="269"/>
        <v>-0.54919126465589507</v>
      </c>
      <c r="E591" s="307">
        <f t="shared" ca="1" si="270"/>
        <v>-0.50696667008236851</v>
      </c>
      <c r="F591" s="304">
        <f t="shared" ca="1" si="271"/>
        <v>0.74741303825177308</v>
      </c>
      <c r="G591" s="306">
        <f t="shared" ca="1" si="272"/>
        <v>6.196953311447805</v>
      </c>
      <c r="H591" s="307">
        <f t="shared" ca="1" si="273"/>
        <v>-104.97436078684753</v>
      </c>
      <c r="I591" s="304">
        <f t="shared" ca="1" si="274"/>
        <v>105.15711413381167</v>
      </c>
      <c r="J591" s="306">
        <f t="shared" ca="1" si="275"/>
        <v>745.87074281998321</v>
      </c>
      <c r="K591" s="307">
        <f t="shared" ca="1" si="276"/>
        <v>-9.4133996500321722</v>
      </c>
      <c r="L591" s="304">
        <f t="shared" ca="1" si="261"/>
        <v>745.93014223035971</v>
      </c>
      <c r="M591" s="306">
        <f t="shared" ca="1" si="277"/>
        <v>-1.5118317406069759</v>
      </c>
      <c r="N591" s="304">
        <f t="shared" ca="1" si="278"/>
        <v>-86.621578070696756</v>
      </c>
      <c r="P591" s="310">
        <f t="shared" ca="1" si="279"/>
        <v>23</v>
      </c>
      <c r="Q591" s="304">
        <f t="shared" ca="1" si="280"/>
        <v>0</v>
      </c>
      <c r="R591" s="306">
        <f t="shared" ca="1" si="281"/>
        <v>0</v>
      </c>
      <c r="S591" s="307">
        <f t="shared" ca="1" si="282"/>
        <v>2.9792999999999985</v>
      </c>
      <c r="T591" s="304">
        <f t="shared" ca="1" si="262"/>
        <v>29.226932999999988</v>
      </c>
      <c r="U591" s="311">
        <f t="shared" ca="1" si="263"/>
        <v>0</v>
      </c>
      <c r="V591" s="306">
        <f t="shared" ca="1" si="264"/>
        <v>1.2261536844617744</v>
      </c>
      <c r="W591" s="304">
        <f t="shared" ca="1" si="265"/>
        <v>27.764834883961502</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0.47372121700846392</v>
      </c>
      <c r="AH591" s="304">
        <f t="shared" ca="1" si="289"/>
        <v>-9.3192295916954802</v>
      </c>
    </row>
    <row r="592" spans="1:34" x14ac:dyDescent="0.2">
      <c r="A592" s="347">
        <f t="shared" ca="1" si="267"/>
        <v>1E-4</v>
      </c>
      <c r="B592" s="304">
        <f t="shared" ca="1" si="268"/>
        <v>36.807200000000449</v>
      </c>
      <c r="D592" s="306">
        <f t="shared" ca="1" si="269"/>
        <v>-0.54918722152113697</v>
      </c>
      <c r="E592" s="307">
        <f t="shared" ca="1" si="270"/>
        <v>-0.50694822050915</v>
      </c>
      <c r="F592" s="304">
        <f t="shared" ca="1" si="271"/>
        <v>0.74739755322017221</v>
      </c>
      <c r="G592" s="306">
        <f t="shared" ca="1" si="272"/>
        <v>6.1968983927256529</v>
      </c>
      <c r="H592" s="307">
        <f t="shared" ca="1" si="273"/>
        <v>-104.97441148166958</v>
      </c>
      <c r="I592" s="304">
        <f t="shared" ca="1" si="274"/>
        <v>105.15716150416313</v>
      </c>
      <c r="J592" s="306">
        <f t="shared" ca="1" si="275"/>
        <v>745.87074281998321</v>
      </c>
      <c r="K592" s="307">
        <f t="shared" ca="1" si="276"/>
        <v>-9.4238970886455977</v>
      </c>
      <c r="L592" s="304">
        <f t="shared" ca="1" si="261"/>
        <v>745.93027477852843</v>
      </c>
      <c r="M592" s="306">
        <f t="shared" ca="1" si="277"/>
        <v>-1.5118322903626464</v>
      </c>
      <c r="N592" s="304">
        <f t="shared" ca="1" si="278"/>
        <v>-86.621609569376446</v>
      </c>
      <c r="P592" s="310">
        <f t="shared" ca="1" si="279"/>
        <v>23</v>
      </c>
      <c r="Q592" s="304">
        <f t="shared" ca="1" si="280"/>
        <v>0</v>
      </c>
      <c r="R592" s="306">
        <f t="shared" ca="1" si="281"/>
        <v>0</v>
      </c>
      <c r="S592" s="307">
        <f t="shared" ca="1" si="282"/>
        <v>2.9792999999999985</v>
      </c>
      <c r="T592" s="304">
        <f t="shared" ca="1" si="262"/>
        <v>29.226932999999988</v>
      </c>
      <c r="U592" s="311">
        <f t="shared" ca="1" si="263"/>
        <v>0</v>
      </c>
      <c r="V592" s="306">
        <f t="shared" ca="1" si="264"/>
        <v>1.2261549716100391</v>
      </c>
      <c r="W592" s="304">
        <f t="shared" ca="1" si="265"/>
        <v>27.764889044549964</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0.47370335558638921</v>
      </c>
      <c r="AH592" s="304">
        <f t="shared" ca="1" si="289"/>
        <v>-9.3192477709399917</v>
      </c>
    </row>
    <row r="593" spans="1:34" x14ac:dyDescent="0.2">
      <c r="A593" s="347">
        <f t="shared" ca="1" si="267"/>
        <v>1E-4</v>
      </c>
      <c r="B593" s="304">
        <f t="shared" ca="1" si="268"/>
        <v>36.807300000000453</v>
      </c>
      <c r="D593" s="306">
        <f t="shared" ca="1" si="269"/>
        <v>-0.54918317839968278</v>
      </c>
      <c r="E593" s="307">
        <f t="shared" ca="1" si="270"/>
        <v>-0.50692977122019656</v>
      </c>
      <c r="F593" s="304">
        <f t="shared" ca="1" si="271"/>
        <v>0.74738206854763289</v>
      </c>
      <c r="G593" s="306">
        <f t="shared" ca="1" si="272"/>
        <v>6.1968434744078129</v>
      </c>
      <c r="H593" s="307">
        <f t="shared" ca="1" si="273"/>
        <v>-104.9744621746467</v>
      </c>
      <c r="I593" s="304">
        <f t="shared" ca="1" si="274"/>
        <v>105.15720887272846</v>
      </c>
      <c r="J593" s="306">
        <f t="shared" ca="1" si="275"/>
        <v>745.87074281998321</v>
      </c>
      <c r="K593" s="307">
        <f t="shared" ca="1" si="276"/>
        <v>-9.4343945323284135</v>
      </c>
      <c r="L593" s="304">
        <f t="shared" ca="1" si="261"/>
        <v>745.93040747446753</v>
      </c>
      <c r="M593" s="306">
        <f t="shared" ca="1" si="277"/>
        <v>-1.5118328401129497</v>
      </c>
      <c r="N593" s="304">
        <f t="shared" ca="1" si="278"/>
        <v>-86.621641067748612</v>
      </c>
      <c r="P593" s="310">
        <f t="shared" ca="1" si="279"/>
        <v>23</v>
      </c>
      <c r="Q593" s="304">
        <f t="shared" ca="1" si="280"/>
        <v>0</v>
      </c>
      <c r="R593" s="306">
        <f t="shared" ca="1" si="281"/>
        <v>0</v>
      </c>
      <c r="S593" s="307">
        <f t="shared" ca="1" si="282"/>
        <v>2.9792999999999985</v>
      </c>
      <c r="T593" s="304">
        <f t="shared" ca="1" si="262"/>
        <v>29.226932999999988</v>
      </c>
      <c r="U593" s="311">
        <f t="shared" ca="1" si="263"/>
        <v>0</v>
      </c>
      <c r="V593" s="306">
        <f t="shared" ca="1" si="264"/>
        <v>1.2261562587602766</v>
      </c>
      <c r="W593" s="304">
        <f t="shared" ca="1" si="265"/>
        <v>27.764943204303691</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0.47368549443842234</v>
      </c>
      <c r="AH593" s="304">
        <f t="shared" ca="1" si="289"/>
        <v>-9.3192659499043327</v>
      </c>
    </row>
    <row r="594" spans="1:34" x14ac:dyDescent="0.2">
      <c r="A594" s="347">
        <f t="shared" ca="1" si="267"/>
        <v>1E-4</v>
      </c>
      <c r="B594" s="304">
        <f t="shared" ca="1" si="268"/>
        <v>36.807400000000456</v>
      </c>
      <c r="D594" s="306">
        <f t="shared" ca="1" si="269"/>
        <v>-0.54917913529153084</v>
      </c>
      <c r="E594" s="307">
        <f t="shared" ca="1" si="270"/>
        <v>-0.50691132221551527</v>
      </c>
      <c r="F594" s="304">
        <f t="shared" ca="1" si="271"/>
        <v>0.7473665842341598</v>
      </c>
      <c r="G594" s="306">
        <f t="shared" ca="1" si="272"/>
        <v>6.1967885564942842</v>
      </c>
      <c r="H594" s="307">
        <f t="shared" ca="1" si="273"/>
        <v>-104.97451286577892</v>
      </c>
      <c r="I594" s="304">
        <f t="shared" ca="1" si="274"/>
        <v>105.1572562395077</v>
      </c>
      <c r="J594" s="306">
        <f t="shared" ca="1" si="275"/>
        <v>745.87074281998321</v>
      </c>
      <c r="K594" s="307">
        <f t="shared" ca="1" si="276"/>
        <v>-9.4448919810804348</v>
      </c>
      <c r="L594" s="304">
        <f t="shared" ca="1" si="261"/>
        <v>745.93054031817724</v>
      </c>
      <c r="M594" s="306">
        <f t="shared" ca="1" si="277"/>
        <v>-1.5118333898578857</v>
      </c>
      <c r="N594" s="304">
        <f t="shared" ca="1" si="278"/>
        <v>-86.621672565813256</v>
      </c>
      <c r="P594" s="310">
        <f t="shared" ca="1" si="279"/>
        <v>23</v>
      </c>
      <c r="Q594" s="304">
        <f t="shared" ca="1" si="280"/>
        <v>0</v>
      </c>
      <c r="R594" s="306">
        <f t="shared" ca="1" si="281"/>
        <v>0</v>
      </c>
      <c r="S594" s="307">
        <f t="shared" ca="1" si="282"/>
        <v>2.9792999999999985</v>
      </c>
      <c r="T594" s="304">
        <f t="shared" ca="1" si="262"/>
        <v>29.226932999999988</v>
      </c>
      <c r="U594" s="311">
        <f t="shared" ca="1" si="263"/>
        <v>0</v>
      </c>
      <c r="V594" s="306">
        <f t="shared" ca="1" si="264"/>
        <v>1.226157545912488</v>
      </c>
      <c r="W594" s="304">
        <f t="shared" ca="1" si="265"/>
        <v>27.764997363222726</v>
      </c>
      <c r="Y594" s="314" t="str">
        <f t="shared" ca="1" si="283"/>
        <v/>
      </c>
      <c r="Z594" s="315" t="str">
        <f t="shared" ca="1" si="284"/>
        <v/>
      </c>
      <c r="AA594" s="316" t="str">
        <f t="shared" ca="1" si="285"/>
        <v/>
      </c>
      <c r="AC594" s="310" t="e">
        <f t="shared" ca="1" si="286"/>
        <v>#N/A</v>
      </c>
      <c r="AD594" s="323" t="e">
        <f t="shared" ca="1" si="287"/>
        <v>#N/A</v>
      </c>
      <c r="AE594" s="324" t="e">
        <f t="shared" ca="1" si="266"/>
        <v>#N/A</v>
      </c>
      <c r="AG594" s="306">
        <f t="shared" ca="1" si="288"/>
        <v>0.47366763356457042</v>
      </c>
      <c r="AH594" s="304">
        <f t="shared" ca="1" si="289"/>
        <v>-9.319284128588496</v>
      </c>
    </row>
    <row r="595" spans="1:34" x14ac:dyDescent="0.2">
      <c r="A595" s="347">
        <f t="shared" ca="1" si="267"/>
        <v>1E-4</v>
      </c>
      <c r="B595" s="304">
        <f t="shared" ca="1" si="268"/>
        <v>36.807500000000459</v>
      </c>
      <c r="D595" s="306">
        <f t="shared" ca="1" si="269"/>
        <v>-0.54917509219668259</v>
      </c>
      <c r="E595" s="307">
        <f t="shared" ca="1" si="270"/>
        <v>-0.50689287349509371</v>
      </c>
      <c r="F595" s="304">
        <f t="shared" ca="1" si="271"/>
        <v>0.74735110027974661</v>
      </c>
      <c r="G595" s="306">
        <f t="shared" ca="1" si="272"/>
        <v>6.1967336389850649</v>
      </c>
      <c r="H595" s="307">
        <f t="shared" ca="1" si="273"/>
        <v>-104.97456355506627</v>
      </c>
      <c r="I595" s="304">
        <f t="shared" ca="1" si="274"/>
        <v>105.1573036045009</v>
      </c>
      <c r="J595" s="306">
        <f t="shared" ca="1" si="275"/>
        <v>745.87074281998321</v>
      </c>
      <c r="K595" s="307">
        <f t="shared" ca="1" si="276"/>
        <v>-9.4553894349014769</v>
      </c>
      <c r="L595" s="304">
        <f t="shared" ca="1" si="261"/>
        <v>745.93067330965766</v>
      </c>
      <c r="M595" s="306">
        <f t="shared" ca="1" si="277"/>
        <v>-1.5118339395974545</v>
      </c>
      <c r="N595" s="304">
        <f t="shared" ca="1" si="278"/>
        <v>-86.621704063570377</v>
      </c>
      <c r="P595" s="310">
        <f t="shared" ca="1" si="279"/>
        <v>23</v>
      </c>
      <c r="Q595" s="304">
        <f t="shared" ca="1" si="280"/>
        <v>0</v>
      </c>
      <c r="R595" s="306">
        <f t="shared" ca="1" si="281"/>
        <v>0</v>
      </c>
      <c r="S595" s="307">
        <f t="shared" ca="1" si="282"/>
        <v>2.9792999999999985</v>
      </c>
      <c r="T595" s="304">
        <f t="shared" ca="1" si="262"/>
        <v>29.226932999999988</v>
      </c>
      <c r="U595" s="311">
        <f t="shared" ca="1" si="263"/>
        <v>0</v>
      </c>
      <c r="V595" s="306">
        <f t="shared" ca="1" si="264"/>
        <v>1.2261588330666722</v>
      </c>
      <c r="W595" s="304">
        <f t="shared" ca="1" si="265"/>
        <v>27.765051521307054</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0.47364977296482103</v>
      </c>
      <c r="AH595" s="304">
        <f t="shared" ca="1" si="289"/>
        <v>-9.3193023069924941</v>
      </c>
    </row>
    <row r="596" spans="1:34" x14ac:dyDescent="0.2">
      <c r="A596" s="347">
        <f t="shared" ca="1" si="267"/>
        <v>1E-4</v>
      </c>
      <c r="B596" s="304">
        <f t="shared" ca="1" si="268"/>
        <v>36.807600000000463</v>
      </c>
      <c r="D596" s="306">
        <f t="shared" ca="1" si="269"/>
        <v>-0.5491710491151387</v>
      </c>
      <c r="E596" s="307">
        <f t="shared" ca="1" si="270"/>
        <v>-0.50687442505893365</v>
      </c>
      <c r="F596" s="304">
        <f t="shared" ca="1" si="271"/>
        <v>0.74733561668439608</v>
      </c>
      <c r="G596" s="306">
        <f t="shared" ca="1" si="272"/>
        <v>6.1966787218801533</v>
      </c>
      <c r="H596" s="307">
        <f t="shared" ca="1" si="273"/>
        <v>-104.97461424250878</v>
      </c>
      <c r="I596" s="304">
        <f t="shared" ca="1" si="274"/>
        <v>105.15735096770806</v>
      </c>
      <c r="J596" s="306">
        <f t="shared" ca="1" si="275"/>
        <v>745.87074281998321</v>
      </c>
      <c r="K596" s="307">
        <f t="shared" ca="1" si="276"/>
        <v>-9.465886893791355</v>
      </c>
      <c r="L596" s="304">
        <f t="shared" ca="1" si="261"/>
        <v>745.93080644890892</v>
      </c>
      <c r="M596" s="306">
        <f t="shared" ca="1" si="277"/>
        <v>-1.511834489331656</v>
      </c>
      <c r="N596" s="304">
        <f t="shared" ca="1" si="278"/>
        <v>-86.621735561019975</v>
      </c>
      <c r="P596" s="310">
        <f t="shared" ca="1" si="279"/>
        <v>23</v>
      </c>
      <c r="Q596" s="304">
        <f t="shared" ca="1" si="280"/>
        <v>0</v>
      </c>
      <c r="R596" s="306">
        <f t="shared" ca="1" si="281"/>
        <v>0</v>
      </c>
      <c r="S596" s="307">
        <f t="shared" ca="1" si="282"/>
        <v>2.9792999999999985</v>
      </c>
      <c r="T596" s="304">
        <f t="shared" ca="1" si="262"/>
        <v>29.226932999999988</v>
      </c>
      <c r="U596" s="311">
        <f t="shared" ca="1" si="263"/>
        <v>0</v>
      </c>
      <c r="V596" s="306">
        <f t="shared" ca="1" si="264"/>
        <v>1.2261601202228303</v>
      </c>
      <c r="W596" s="304">
        <f t="shared" ca="1" si="265"/>
        <v>27.765105678556715</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0.47363191263917592</v>
      </c>
      <c r="AH596" s="304">
        <f t="shared" ca="1" si="289"/>
        <v>-9.3193204851163252</v>
      </c>
    </row>
    <row r="597" spans="1:34" x14ac:dyDescent="0.2">
      <c r="A597" s="347">
        <f t="shared" ca="1" si="267"/>
        <v>1E-4</v>
      </c>
      <c r="B597" s="304">
        <f t="shared" ca="1" si="268"/>
        <v>36.807700000000466</v>
      </c>
      <c r="D597" s="306">
        <f t="shared" ca="1" si="269"/>
        <v>-0.54916700604690061</v>
      </c>
      <c r="E597" s="307">
        <f t="shared" ca="1" si="270"/>
        <v>-0.50685597690702444</v>
      </c>
      <c r="F597" s="304">
        <f t="shared" ca="1" si="271"/>
        <v>0.74732013344810311</v>
      </c>
      <c r="G597" s="306">
        <f t="shared" ca="1" si="272"/>
        <v>6.1966238051795486</v>
      </c>
      <c r="H597" s="307">
        <f t="shared" ca="1" si="273"/>
        <v>-104.97466492810646</v>
      </c>
      <c r="I597" s="304">
        <f t="shared" ca="1" si="274"/>
        <v>105.15739832912919</v>
      </c>
      <c r="J597" s="306">
        <f t="shared" ca="1" si="275"/>
        <v>745.87074281998321</v>
      </c>
      <c r="K597" s="307">
        <f t="shared" ca="1" si="276"/>
        <v>-9.4763843577498861</v>
      </c>
      <c r="L597" s="304">
        <f t="shared" ca="1" si="261"/>
        <v>745.93093973593113</v>
      </c>
      <c r="M597" s="306">
        <f t="shared" ca="1" si="277"/>
        <v>-1.5118350390604907</v>
      </c>
      <c r="N597" s="304">
        <f t="shared" ca="1" si="278"/>
        <v>-86.621767058162078</v>
      </c>
      <c r="P597" s="310">
        <f t="shared" ca="1" si="279"/>
        <v>23</v>
      </c>
      <c r="Q597" s="304">
        <f t="shared" ca="1" si="280"/>
        <v>0</v>
      </c>
      <c r="R597" s="306">
        <f t="shared" ca="1" si="281"/>
        <v>0</v>
      </c>
      <c r="S597" s="307">
        <f t="shared" ca="1" si="282"/>
        <v>2.9792999999999985</v>
      </c>
      <c r="T597" s="304">
        <f t="shared" ca="1" si="262"/>
        <v>29.226932999999988</v>
      </c>
      <c r="U597" s="311">
        <f t="shared" ca="1" si="263"/>
        <v>0</v>
      </c>
      <c r="V597" s="306">
        <f t="shared" ca="1" si="264"/>
        <v>1.2261614073809612</v>
      </c>
      <c r="W597" s="304">
        <f t="shared" ca="1" si="265"/>
        <v>27.765159834971687</v>
      </c>
      <c r="Y597" s="314" t="str">
        <f t="shared" ca="1" si="283"/>
        <v/>
      </c>
      <c r="Z597" s="315" t="str">
        <f t="shared" ca="1" si="284"/>
        <v/>
      </c>
      <c r="AA597" s="316" t="str">
        <f t="shared" ca="1" si="285"/>
        <v/>
      </c>
      <c r="AC597" s="310" t="e">
        <f t="shared" ca="1" si="286"/>
        <v>#N/A</v>
      </c>
      <c r="AD597" s="323" t="e">
        <f t="shared" ca="1" si="287"/>
        <v>#N/A</v>
      </c>
      <c r="AE597" s="324" t="e">
        <f t="shared" ca="1" si="266"/>
        <v>#N/A</v>
      </c>
      <c r="AG597" s="306">
        <f t="shared" ca="1" si="288"/>
        <v>0.47361405258762446</v>
      </c>
      <c r="AH597" s="304">
        <f t="shared" ca="1" si="289"/>
        <v>-9.3193386629599999</v>
      </c>
    </row>
    <row r="598" spans="1:34" x14ac:dyDescent="0.2">
      <c r="A598" s="347">
        <f t="shared" ca="1" si="267"/>
        <v>1E-4</v>
      </c>
      <c r="B598" s="304">
        <f t="shared" ca="1" si="268"/>
        <v>36.807800000000469</v>
      </c>
      <c r="D598" s="306">
        <f t="shared" ca="1" si="269"/>
        <v>-0.54916296299196454</v>
      </c>
      <c r="E598" s="307">
        <f t="shared" ca="1" si="270"/>
        <v>-0.5068375290393714</v>
      </c>
      <c r="F598" s="304">
        <f t="shared" ca="1" si="271"/>
        <v>0.74730465057086959</v>
      </c>
      <c r="G598" s="306">
        <f t="shared" ca="1" si="272"/>
        <v>6.1965688888832497</v>
      </c>
      <c r="H598" s="307">
        <f t="shared" ca="1" si="273"/>
        <v>-104.97471561185937</v>
      </c>
      <c r="I598" s="304">
        <f t="shared" ca="1" si="274"/>
        <v>105.15744568876437</v>
      </c>
      <c r="J598" s="306">
        <f t="shared" ca="1" si="275"/>
        <v>745.87074281998321</v>
      </c>
      <c r="K598" s="307">
        <f t="shared" ca="1" si="276"/>
        <v>-9.4868818267768837</v>
      </c>
      <c r="L598" s="304">
        <f t="shared" ca="1" si="261"/>
        <v>745.93107317072452</v>
      </c>
      <c r="M598" s="306">
        <f t="shared" ca="1" si="277"/>
        <v>-1.5118355887839581</v>
      </c>
      <c r="N598" s="304">
        <f t="shared" ca="1" si="278"/>
        <v>-86.621798554996658</v>
      </c>
      <c r="P598" s="310">
        <f t="shared" ca="1" si="279"/>
        <v>23</v>
      </c>
      <c r="Q598" s="304">
        <f t="shared" ca="1" si="280"/>
        <v>0</v>
      </c>
      <c r="R598" s="306">
        <f t="shared" ca="1" si="281"/>
        <v>0</v>
      </c>
      <c r="S598" s="307">
        <f t="shared" ca="1" si="282"/>
        <v>2.9792999999999985</v>
      </c>
      <c r="T598" s="304">
        <f t="shared" ca="1" si="262"/>
        <v>29.226932999999988</v>
      </c>
      <c r="U598" s="311">
        <f t="shared" ca="1" si="263"/>
        <v>0</v>
      </c>
      <c r="V598" s="306">
        <f t="shared" ca="1" si="264"/>
        <v>1.2261626945410662</v>
      </c>
      <c r="W598" s="304">
        <f t="shared" ca="1" si="265"/>
        <v>27.765213990552006</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0.47359619281017373</v>
      </c>
      <c r="AH598" s="304">
        <f t="shared" ca="1" si="289"/>
        <v>-9.319356840523513</v>
      </c>
    </row>
    <row r="599" spans="1:34" x14ac:dyDescent="0.2">
      <c r="A599" s="347">
        <f t="shared" ca="1" si="267"/>
        <v>1E-4</v>
      </c>
      <c r="B599" s="304">
        <f t="shared" ca="1" si="268"/>
        <v>36.807900000000473</v>
      </c>
      <c r="D599" s="306">
        <f t="shared" ca="1" si="269"/>
        <v>-0.54915891995033594</v>
      </c>
      <c r="E599" s="307">
        <f t="shared" ca="1" si="270"/>
        <v>-0.50681908145596566</v>
      </c>
      <c r="F599" s="304">
        <f t="shared" ca="1" si="271"/>
        <v>0.74728916805269452</v>
      </c>
      <c r="G599" s="306">
        <f t="shared" ca="1" si="272"/>
        <v>6.1965139729912551</v>
      </c>
      <c r="H599" s="307">
        <f t="shared" ca="1" si="273"/>
        <v>-104.97476629376752</v>
      </c>
      <c r="I599" s="304">
        <f t="shared" ca="1" si="274"/>
        <v>105.15749304661358</v>
      </c>
      <c r="J599" s="306">
        <f t="shared" ca="1" si="275"/>
        <v>745.87074281998321</v>
      </c>
      <c r="K599" s="307">
        <f t="shared" ca="1" si="276"/>
        <v>-9.497379300872165</v>
      </c>
      <c r="L599" s="304">
        <f t="shared" ca="1" si="261"/>
        <v>745.93120675328908</v>
      </c>
      <c r="M599" s="306">
        <f t="shared" ca="1" si="277"/>
        <v>-1.5118361385020587</v>
      </c>
      <c r="N599" s="304">
        <f t="shared" ca="1" si="278"/>
        <v>-86.621830051523744</v>
      </c>
      <c r="P599" s="310">
        <f t="shared" ca="1" si="279"/>
        <v>23</v>
      </c>
      <c r="Q599" s="304">
        <f t="shared" ca="1" si="280"/>
        <v>0</v>
      </c>
      <c r="R599" s="306">
        <f t="shared" ca="1" si="281"/>
        <v>0</v>
      </c>
      <c r="S599" s="307">
        <f t="shared" ca="1" si="282"/>
        <v>2.9792999999999985</v>
      </c>
      <c r="T599" s="304">
        <f t="shared" ca="1" si="262"/>
        <v>29.226932999999988</v>
      </c>
      <c r="U599" s="311">
        <f t="shared" ca="1" si="263"/>
        <v>0</v>
      </c>
      <c r="V599" s="306">
        <f t="shared" ca="1" si="264"/>
        <v>1.2261639817031436</v>
      </c>
      <c r="W599" s="304">
        <f t="shared" ca="1" si="265"/>
        <v>27.765268145297654</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0.47357833330681487</v>
      </c>
      <c r="AH599" s="304">
        <f t="shared" ca="1" si="289"/>
        <v>-9.3193750178068733</v>
      </c>
    </row>
    <row r="600" spans="1:34" x14ac:dyDescent="0.2">
      <c r="A600" s="347">
        <f t="shared" ca="1" si="267"/>
        <v>1E-4</v>
      </c>
      <c r="B600" s="304">
        <f t="shared" ca="1" si="268"/>
        <v>36.808000000000476</v>
      </c>
      <c r="D600" s="306">
        <f t="shared" ca="1" si="269"/>
        <v>-0.54915487692201137</v>
      </c>
      <c r="E600" s="307">
        <f t="shared" ca="1" si="270"/>
        <v>-0.50680063415680721</v>
      </c>
      <c r="F600" s="304">
        <f t="shared" ca="1" si="271"/>
        <v>0.74727368589357634</v>
      </c>
      <c r="G600" s="306">
        <f t="shared" ca="1" si="272"/>
        <v>6.1964590575035627</v>
      </c>
      <c r="H600" s="307">
        <f t="shared" ca="1" si="273"/>
        <v>-104.97481697383093</v>
      </c>
      <c r="I600" s="304">
        <f t="shared" ca="1" si="274"/>
        <v>105.15754040267687</v>
      </c>
      <c r="J600" s="306">
        <f t="shared" ca="1" si="275"/>
        <v>745.87074281998321</v>
      </c>
      <c r="K600" s="307">
        <f t="shared" ca="1" si="276"/>
        <v>-9.507876780035545</v>
      </c>
      <c r="L600" s="304">
        <f t="shared" ca="1" si="261"/>
        <v>745.93134048362515</v>
      </c>
      <c r="M600" s="306">
        <f t="shared" ca="1" si="277"/>
        <v>-1.5118366882147924</v>
      </c>
      <c r="N600" s="304">
        <f t="shared" ca="1" si="278"/>
        <v>-86.621861547743336</v>
      </c>
      <c r="P600" s="310">
        <f t="shared" ca="1" si="279"/>
        <v>23</v>
      </c>
      <c r="Q600" s="304">
        <f t="shared" ca="1" si="280"/>
        <v>0</v>
      </c>
      <c r="R600" s="306">
        <f t="shared" ca="1" si="281"/>
        <v>0</v>
      </c>
      <c r="S600" s="307">
        <f t="shared" ca="1" si="282"/>
        <v>2.9792999999999985</v>
      </c>
      <c r="T600" s="304">
        <f t="shared" ca="1" si="262"/>
        <v>29.226932999999988</v>
      </c>
      <c r="U600" s="311">
        <f t="shared" ca="1" si="263"/>
        <v>0</v>
      </c>
      <c r="V600" s="306">
        <f t="shared" ca="1" si="264"/>
        <v>1.2261652688671949</v>
      </c>
      <c r="W600" s="304">
        <f t="shared" ca="1" si="265"/>
        <v>27.765322299208677</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0.47356047407754609</v>
      </c>
      <c r="AH600" s="304">
        <f t="shared" ca="1" si="289"/>
        <v>-9.319393194810079</v>
      </c>
    </row>
    <row r="601" spans="1:34" x14ac:dyDescent="0.2">
      <c r="A601" s="347">
        <f t="shared" ca="1" si="267"/>
        <v>1E-4</v>
      </c>
      <c r="B601" s="304">
        <f t="shared" ca="1" si="268"/>
        <v>36.808100000000479</v>
      </c>
      <c r="D601" s="306">
        <f t="shared" ca="1" si="269"/>
        <v>-0.54915083390699226</v>
      </c>
      <c r="E601" s="307">
        <f t="shared" ca="1" si="270"/>
        <v>-0.50678218714188716</v>
      </c>
      <c r="F601" s="304">
        <f t="shared" ca="1" si="271"/>
        <v>0.74725820409351129</v>
      </c>
      <c r="G601" s="306">
        <f t="shared" ca="1" si="272"/>
        <v>6.1964041424201719</v>
      </c>
      <c r="H601" s="307">
        <f t="shared" ca="1" si="273"/>
        <v>-104.97486765204964</v>
      </c>
      <c r="I601" s="304">
        <f t="shared" ca="1" si="274"/>
        <v>105.15758775695429</v>
      </c>
      <c r="J601" s="306">
        <f t="shared" ca="1" si="275"/>
        <v>745.87074281998321</v>
      </c>
      <c r="K601" s="307">
        <f t="shared" ca="1" si="276"/>
        <v>-9.5183742642668392</v>
      </c>
      <c r="L601" s="304">
        <f t="shared" ca="1" si="261"/>
        <v>745.93147436173263</v>
      </c>
      <c r="M601" s="306">
        <f t="shared" ca="1" si="277"/>
        <v>-1.5118372379221594</v>
      </c>
      <c r="N601" s="304">
        <f t="shared" ca="1" si="278"/>
        <v>-86.621893043655433</v>
      </c>
      <c r="P601" s="310">
        <f t="shared" ca="1" si="279"/>
        <v>23</v>
      </c>
      <c r="Q601" s="304">
        <f t="shared" ca="1" si="280"/>
        <v>0</v>
      </c>
      <c r="R601" s="306">
        <f t="shared" ca="1" si="281"/>
        <v>0</v>
      </c>
      <c r="S601" s="307">
        <f t="shared" ca="1" si="282"/>
        <v>2.9792999999999985</v>
      </c>
      <c r="T601" s="304">
        <f t="shared" ca="1" si="262"/>
        <v>29.226932999999988</v>
      </c>
      <c r="U601" s="311">
        <f t="shared" ca="1" si="263"/>
        <v>0</v>
      </c>
      <c r="V601" s="306">
        <f t="shared" ca="1" si="264"/>
        <v>1.2261665560332187</v>
      </c>
      <c r="W601" s="304">
        <f t="shared" ca="1" si="265"/>
        <v>27.765376452285054</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0.47354261512235851</v>
      </c>
      <c r="AH601" s="304">
        <f t="shared" ca="1" si="289"/>
        <v>-9.3194113715331426</v>
      </c>
    </row>
    <row r="602" spans="1:34" x14ac:dyDescent="0.2">
      <c r="A602" s="347">
        <f t="shared" ca="1" si="267"/>
        <v>1E-4</v>
      </c>
      <c r="B602" s="304">
        <f t="shared" ca="1" si="268"/>
        <v>36.808200000000483</v>
      </c>
      <c r="D602" s="306">
        <f t="shared" ca="1" si="269"/>
        <v>-0.54914679090527896</v>
      </c>
      <c r="E602" s="307">
        <f t="shared" ca="1" si="270"/>
        <v>-0.50676374041120908</v>
      </c>
      <c r="F602" s="304">
        <f t="shared" ca="1" si="271"/>
        <v>0.74724272265250302</v>
      </c>
      <c r="G602" s="306">
        <f t="shared" ca="1" si="272"/>
        <v>6.1963492277410817</v>
      </c>
      <c r="H602" s="307">
        <f t="shared" ca="1" si="273"/>
        <v>-104.97491832842368</v>
      </c>
      <c r="I602" s="304">
        <f t="shared" ca="1" si="274"/>
        <v>105.15763510944581</v>
      </c>
      <c r="J602" s="306">
        <f t="shared" ca="1" si="275"/>
        <v>745.87074281998321</v>
      </c>
      <c r="K602" s="307">
        <f t="shared" ca="1" si="276"/>
        <v>-9.5288717535658627</v>
      </c>
      <c r="L602" s="304">
        <f t="shared" ca="1" si="261"/>
        <v>745.93160838761185</v>
      </c>
      <c r="M602" s="306">
        <f t="shared" ca="1" si="277"/>
        <v>-1.5118377876241593</v>
      </c>
      <c r="N602" s="304">
        <f t="shared" ca="1" si="278"/>
        <v>-86.621924539260007</v>
      </c>
      <c r="P602" s="310">
        <f t="shared" ca="1" si="279"/>
        <v>23</v>
      </c>
      <c r="Q602" s="304">
        <f t="shared" ca="1" si="280"/>
        <v>0</v>
      </c>
      <c r="R602" s="306">
        <f t="shared" ca="1" si="281"/>
        <v>0</v>
      </c>
      <c r="S602" s="307">
        <f t="shared" ca="1" si="282"/>
        <v>2.9792999999999985</v>
      </c>
      <c r="T602" s="304">
        <f t="shared" ca="1" si="262"/>
        <v>29.226932999999988</v>
      </c>
      <c r="U602" s="311">
        <f t="shared" ca="1" si="263"/>
        <v>0</v>
      </c>
      <c r="V602" s="306">
        <f t="shared" ca="1" si="264"/>
        <v>1.2261678432012166</v>
      </c>
      <c r="W602" s="304">
        <f t="shared" ca="1" si="265"/>
        <v>27.765430604526813</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0.47352475644125924</v>
      </c>
      <c r="AH602" s="304">
        <f t="shared" ca="1" si="289"/>
        <v>-9.3194295479760569</v>
      </c>
    </row>
    <row r="603" spans="1:34" x14ac:dyDescent="0.2">
      <c r="A603" s="347">
        <f t="shared" ca="1" si="267"/>
        <v>1E-4</v>
      </c>
      <c r="B603" s="304">
        <f t="shared" ca="1" si="268"/>
        <v>36.808300000000486</v>
      </c>
      <c r="D603" s="306">
        <f t="shared" ca="1" si="269"/>
        <v>-0.5491427479168749</v>
      </c>
      <c r="E603" s="307">
        <f t="shared" ca="1" si="270"/>
        <v>-0.50674529396476409</v>
      </c>
      <c r="F603" s="304">
        <f t="shared" ca="1" si="271"/>
        <v>0.74722724157054898</v>
      </c>
      <c r="G603" s="306">
        <f t="shared" ca="1" si="272"/>
        <v>6.1962943134662902</v>
      </c>
      <c r="H603" s="307">
        <f t="shared" ca="1" si="273"/>
        <v>-104.97496900295307</v>
      </c>
      <c r="I603" s="304">
        <f t="shared" ca="1" si="274"/>
        <v>105.15768246015149</v>
      </c>
      <c r="J603" s="306">
        <f t="shared" ca="1" si="275"/>
        <v>745.87074281998321</v>
      </c>
      <c r="K603" s="307">
        <f t="shared" ca="1" si="276"/>
        <v>-9.5393692479324308</v>
      </c>
      <c r="L603" s="304">
        <f t="shared" ca="1" si="261"/>
        <v>745.93174256126269</v>
      </c>
      <c r="M603" s="306">
        <f t="shared" ca="1" si="277"/>
        <v>-1.5118383373207929</v>
      </c>
      <c r="N603" s="304">
        <f t="shared" ca="1" si="278"/>
        <v>-86.62195603455713</v>
      </c>
      <c r="P603" s="310">
        <f t="shared" ca="1" si="279"/>
        <v>23</v>
      </c>
      <c r="Q603" s="304">
        <f t="shared" ca="1" si="280"/>
        <v>0</v>
      </c>
      <c r="R603" s="306">
        <f t="shared" ca="1" si="281"/>
        <v>0</v>
      </c>
      <c r="S603" s="307">
        <f t="shared" ca="1" si="282"/>
        <v>2.9792999999999985</v>
      </c>
      <c r="T603" s="304">
        <f t="shared" ca="1" si="262"/>
        <v>29.226932999999988</v>
      </c>
      <c r="U603" s="311">
        <f t="shared" ca="1" si="263"/>
        <v>0</v>
      </c>
      <c r="V603" s="306">
        <f t="shared" ca="1" si="264"/>
        <v>1.2261691303711875</v>
      </c>
      <c r="W603" s="304">
        <f t="shared" ca="1" si="265"/>
        <v>27.765484755933958</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0.47350689803423585</v>
      </c>
      <c r="AH603" s="304">
        <f t="shared" ca="1" si="289"/>
        <v>-9.3194477241388327</v>
      </c>
    </row>
    <row r="604" spans="1:34" x14ac:dyDescent="0.2">
      <c r="A604" s="347">
        <f t="shared" ca="1" si="267"/>
        <v>1E-4</v>
      </c>
      <c r="B604" s="304">
        <f t="shared" ca="1" si="268"/>
        <v>36.808400000000489</v>
      </c>
      <c r="D604" s="306">
        <f t="shared" ca="1" si="269"/>
        <v>-0.54913870494177497</v>
      </c>
      <c r="E604" s="307">
        <f t="shared" ca="1" si="270"/>
        <v>-0.5067268478025504</v>
      </c>
      <c r="F604" s="304">
        <f t="shared" ca="1" si="271"/>
        <v>0.74721176084764551</v>
      </c>
      <c r="G604" s="306">
        <f t="shared" ca="1" si="272"/>
        <v>6.1962393995957958</v>
      </c>
      <c r="H604" s="307">
        <f t="shared" ca="1" si="273"/>
        <v>-104.97501967563785</v>
      </c>
      <c r="I604" s="304">
        <f t="shared" ca="1" si="274"/>
        <v>105.15772980907137</v>
      </c>
      <c r="J604" s="306">
        <f t="shared" ca="1" si="275"/>
        <v>745.87074281998321</v>
      </c>
      <c r="K604" s="307">
        <f t="shared" ca="1" si="276"/>
        <v>-9.5498667473663605</v>
      </c>
      <c r="L604" s="304">
        <f t="shared" ca="1" si="261"/>
        <v>745.93187688268563</v>
      </c>
      <c r="M604" s="306">
        <f t="shared" ca="1" si="277"/>
        <v>-1.5118388870120596</v>
      </c>
      <c r="N604" s="304">
        <f t="shared" ca="1" si="278"/>
        <v>-86.621987529546743</v>
      </c>
      <c r="P604" s="310">
        <f t="shared" ca="1" si="279"/>
        <v>23</v>
      </c>
      <c r="Q604" s="304">
        <f t="shared" ca="1" si="280"/>
        <v>0</v>
      </c>
      <c r="R604" s="306">
        <f t="shared" ca="1" si="281"/>
        <v>0</v>
      </c>
      <c r="S604" s="307">
        <f t="shared" ca="1" si="282"/>
        <v>2.9792999999999985</v>
      </c>
      <c r="T604" s="304">
        <f t="shared" ca="1" si="262"/>
        <v>29.226932999999988</v>
      </c>
      <c r="U604" s="311">
        <f t="shared" ca="1" si="263"/>
        <v>0</v>
      </c>
      <c r="V604" s="306">
        <f t="shared" ca="1" si="264"/>
        <v>1.2261704175431312</v>
      </c>
      <c r="W604" s="304">
        <f t="shared" ca="1" si="265"/>
        <v>27.765538906506478</v>
      </c>
      <c r="Y604" s="314" t="str">
        <f t="shared" ca="1" si="283"/>
        <v/>
      </c>
      <c r="Z604" s="315" t="str">
        <f t="shared" ca="1" si="284"/>
        <v/>
      </c>
      <c r="AA604" s="316" t="str">
        <f t="shared" ca="1" si="285"/>
        <v/>
      </c>
      <c r="AC604" s="310" t="e">
        <f t="shared" ca="1" si="286"/>
        <v>#N/A</v>
      </c>
      <c r="AD604" s="323" t="e">
        <f t="shared" ca="1" si="287"/>
        <v>#N/A</v>
      </c>
      <c r="AE604" s="324" t="e">
        <f t="shared" ca="1" si="266"/>
        <v>#N/A</v>
      </c>
      <c r="AG604" s="306">
        <f t="shared" ca="1" si="288"/>
        <v>0.4734890399012901</v>
      </c>
      <c r="AH604" s="304">
        <f t="shared" ca="1" si="289"/>
        <v>-9.3194659000214717</v>
      </c>
    </row>
    <row r="605" spans="1:34" x14ac:dyDescent="0.2">
      <c r="A605" s="347">
        <f t="shared" ca="1" si="267"/>
        <v>1E-4</v>
      </c>
      <c r="B605" s="304">
        <f t="shared" ca="1" si="268"/>
        <v>36.808500000000492</v>
      </c>
      <c r="D605" s="306">
        <f t="shared" ca="1" si="269"/>
        <v>-0.54913466197998351</v>
      </c>
      <c r="E605" s="307">
        <f t="shared" ca="1" si="270"/>
        <v>-0.50670840192456978</v>
      </c>
      <c r="F605" s="304">
        <f t="shared" ca="1" si="271"/>
        <v>0.74719628048379771</v>
      </c>
      <c r="G605" s="306">
        <f t="shared" ca="1" si="272"/>
        <v>6.1961844861295976</v>
      </c>
      <c r="H605" s="307">
        <f t="shared" ca="1" si="273"/>
        <v>-104.97507034647805</v>
      </c>
      <c r="I605" s="304">
        <f t="shared" ca="1" si="274"/>
        <v>105.15777715620547</v>
      </c>
      <c r="J605" s="306">
        <f t="shared" ca="1" si="275"/>
        <v>745.87074281998321</v>
      </c>
      <c r="K605" s="307">
        <f t="shared" ca="1" si="276"/>
        <v>-9.5603642518674672</v>
      </c>
      <c r="L605" s="304">
        <f t="shared" ca="1" si="261"/>
        <v>745.93201135188053</v>
      </c>
      <c r="M605" s="306">
        <f t="shared" ca="1" si="277"/>
        <v>-1.5118394366979597</v>
      </c>
      <c r="N605" s="304">
        <f t="shared" ca="1" si="278"/>
        <v>-86.622019024228877</v>
      </c>
      <c r="P605" s="310">
        <f t="shared" ca="1" si="279"/>
        <v>23</v>
      </c>
      <c r="Q605" s="304">
        <f t="shared" ca="1" si="280"/>
        <v>0</v>
      </c>
      <c r="R605" s="306">
        <f t="shared" ca="1" si="281"/>
        <v>0</v>
      </c>
      <c r="S605" s="307">
        <f t="shared" ca="1" si="282"/>
        <v>2.9792999999999985</v>
      </c>
      <c r="T605" s="304">
        <f t="shared" ca="1" si="262"/>
        <v>29.226932999999988</v>
      </c>
      <c r="U605" s="311">
        <f t="shared" ca="1" si="263"/>
        <v>0</v>
      </c>
      <c r="V605" s="306">
        <f t="shared" ca="1" si="264"/>
        <v>1.2261717047170486</v>
      </c>
      <c r="W605" s="304">
        <f t="shared" ca="1" si="265"/>
        <v>27.765593056244438</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0.473471182042422</v>
      </c>
      <c r="AH605" s="304">
        <f t="shared" ca="1" si="289"/>
        <v>-9.3194840756239703</v>
      </c>
    </row>
    <row r="606" spans="1:34" x14ac:dyDescent="0.2">
      <c r="A606" s="347">
        <f t="shared" ca="1" si="267"/>
        <v>1E-4</v>
      </c>
      <c r="B606" s="304">
        <f t="shared" ca="1" si="268"/>
        <v>36.808600000000496</v>
      </c>
      <c r="D606" s="306">
        <f t="shared" ca="1" si="269"/>
        <v>-0.5491306190315004</v>
      </c>
      <c r="E606" s="307">
        <f t="shared" ca="1" si="270"/>
        <v>-0.50668995633080627</v>
      </c>
      <c r="F606" s="304">
        <f t="shared" ca="1" si="271"/>
        <v>0.74718080047899593</v>
      </c>
      <c r="G606" s="306">
        <f t="shared" ca="1" si="272"/>
        <v>6.1961295730676946</v>
      </c>
      <c r="H606" s="307">
        <f t="shared" ca="1" si="273"/>
        <v>-104.97512101547368</v>
      </c>
      <c r="I606" s="304">
        <f t="shared" ca="1" si="274"/>
        <v>105.15782450155379</v>
      </c>
      <c r="J606" s="306">
        <f t="shared" ca="1" si="275"/>
        <v>745.87074281998321</v>
      </c>
      <c r="K606" s="307">
        <f t="shared" ca="1" si="276"/>
        <v>-9.5708617614355642</v>
      </c>
      <c r="L606" s="304">
        <f t="shared" ca="1" si="261"/>
        <v>745.93214596884752</v>
      </c>
      <c r="M606" s="306">
        <f t="shared" ca="1" si="277"/>
        <v>-1.5118399863784935</v>
      </c>
      <c r="N606" s="304">
        <f t="shared" ca="1" si="278"/>
        <v>-86.622050518603544</v>
      </c>
      <c r="P606" s="310">
        <f t="shared" ca="1" si="279"/>
        <v>23</v>
      </c>
      <c r="Q606" s="304">
        <f t="shared" ca="1" si="280"/>
        <v>0</v>
      </c>
      <c r="R606" s="306">
        <f t="shared" ca="1" si="281"/>
        <v>0</v>
      </c>
      <c r="S606" s="307">
        <f t="shared" ca="1" si="282"/>
        <v>2.9792999999999985</v>
      </c>
      <c r="T606" s="304">
        <f t="shared" ca="1" si="262"/>
        <v>29.226932999999988</v>
      </c>
      <c r="U606" s="311">
        <f t="shared" ca="1" si="263"/>
        <v>0</v>
      </c>
      <c r="V606" s="306">
        <f t="shared" ca="1" si="264"/>
        <v>1.2261729918929387</v>
      </c>
      <c r="W606" s="304">
        <f t="shared" ca="1" si="265"/>
        <v>27.76564720514779</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0.47345332445761734</v>
      </c>
      <c r="AH606" s="304">
        <f t="shared" ca="1" si="289"/>
        <v>-9.3195022509463463</v>
      </c>
    </row>
    <row r="607" spans="1:34" x14ac:dyDescent="0.2">
      <c r="A607" s="347">
        <f t="shared" ca="1" si="267"/>
        <v>1E-4</v>
      </c>
      <c r="B607" s="304">
        <f t="shared" ca="1" si="268"/>
        <v>36.808700000000499</v>
      </c>
      <c r="D607" s="306">
        <f t="shared" ca="1" si="269"/>
        <v>-0.54912657609632376</v>
      </c>
      <c r="E607" s="307">
        <f t="shared" ca="1" si="270"/>
        <v>-0.5066715110212705</v>
      </c>
      <c r="F607" s="304">
        <f t="shared" ca="1" si="271"/>
        <v>0.74716532083324705</v>
      </c>
      <c r="G607" s="306">
        <f t="shared" ca="1" si="272"/>
        <v>6.1960746604100851</v>
      </c>
      <c r="H607" s="307">
        <f t="shared" ca="1" si="273"/>
        <v>-104.97517168262478</v>
      </c>
      <c r="I607" s="304">
        <f t="shared" ca="1" si="274"/>
        <v>105.15787184511639</v>
      </c>
      <c r="J607" s="306">
        <f t="shared" ca="1" si="275"/>
        <v>745.87074281998321</v>
      </c>
      <c r="K607" s="307">
        <f t="shared" ca="1" si="276"/>
        <v>-9.5813592760704687</v>
      </c>
      <c r="L607" s="304">
        <f t="shared" ca="1" si="261"/>
        <v>745.93228073358682</v>
      </c>
      <c r="M607" s="306">
        <f t="shared" ca="1" si="277"/>
        <v>-1.5118405360536606</v>
      </c>
      <c r="N607" s="304">
        <f t="shared" ca="1" si="278"/>
        <v>-86.622082012670731</v>
      </c>
      <c r="P607" s="310">
        <f t="shared" ca="1" si="279"/>
        <v>23</v>
      </c>
      <c r="Q607" s="304">
        <f t="shared" ca="1" si="280"/>
        <v>0</v>
      </c>
      <c r="R607" s="306">
        <f t="shared" ca="1" si="281"/>
        <v>0</v>
      </c>
      <c r="S607" s="307">
        <f t="shared" ca="1" si="282"/>
        <v>2.9792999999999985</v>
      </c>
      <c r="T607" s="304">
        <f t="shared" ca="1" si="262"/>
        <v>29.226932999999988</v>
      </c>
      <c r="U607" s="311">
        <f t="shared" ca="1" si="263"/>
        <v>0</v>
      </c>
      <c r="V607" s="306">
        <f t="shared" ca="1" si="264"/>
        <v>1.2261742790708023</v>
      </c>
      <c r="W607" s="304">
        <f t="shared" ca="1" si="265"/>
        <v>27.765701353216581</v>
      </c>
      <c r="Y607" s="314" t="str">
        <f t="shared" ca="1" si="283"/>
        <v/>
      </c>
      <c r="Z607" s="315" t="str">
        <f t="shared" ca="1" si="284"/>
        <v/>
      </c>
      <c r="AA607" s="316" t="str">
        <f t="shared" ca="1" si="285"/>
        <v/>
      </c>
      <c r="AC607" s="310" t="e">
        <f t="shared" ca="1" si="286"/>
        <v>#N/A</v>
      </c>
      <c r="AD607" s="323" t="e">
        <f t="shared" ca="1" si="287"/>
        <v>#N/A</v>
      </c>
      <c r="AE607" s="324" t="e">
        <f t="shared" ca="1" si="266"/>
        <v>#N/A</v>
      </c>
      <c r="AG607" s="306">
        <f t="shared" ca="1" si="288"/>
        <v>0.47343546714688323</v>
      </c>
      <c r="AH607" s="304">
        <f t="shared" ca="1" si="289"/>
        <v>-9.3195204259885891</v>
      </c>
    </row>
    <row r="608" spans="1:34" x14ac:dyDescent="0.2">
      <c r="A608" s="347">
        <f t="shared" ca="1" si="267"/>
        <v>1E-4</v>
      </c>
      <c r="B608" s="304">
        <f t="shared" ca="1" si="268"/>
        <v>36.808800000000502</v>
      </c>
      <c r="D608" s="306">
        <f t="shared" ca="1" si="269"/>
        <v>-0.54912253317445714</v>
      </c>
      <c r="E608" s="307">
        <f t="shared" ca="1" si="270"/>
        <v>-0.50665306599595006</v>
      </c>
      <c r="F608" s="304">
        <f t="shared" ca="1" si="271"/>
        <v>0.7471498415465464</v>
      </c>
      <c r="G608" s="306">
        <f t="shared" ca="1" si="272"/>
        <v>6.1960197481567674</v>
      </c>
      <c r="H608" s="307">
        <f t="shared" ca="1" si="273"/>
        <v>-104.97522234793138</v>
      </c>
      <c r="I608" s="304">
        <f t="shared" ca="1" si="274"/>
        <v>105.1579191868933</v>
      </c>
      <c r="J608" s="306">
        <f t="shared" ca="1" si="275"/>
        <v>745.87074281998321</v>
      </c>
      <c r="K608" s="307">
        <f t="shared" ca="1" si="276"/>
        <v>-9.5918567957719958</v>
      </c>
      <c r="L608" s="304">
        <f t="shared" ca="1" si="261"/>
        <v>745.93241564609866</v>
      </c>
      <c r="M608" s="306">
        <f t="shared" ca="1" si="277"/>
        <v>-1.5118410857234617</v>
      </c>
      <c r="N608" s="304">
        <f t="shared" ca="1" si="278"/>
        <v>-86.622113506430452</v>
      </c>
      <c r="P608" s="310">
        <f t="shared" ca="1" si="279"/>
        <v>23</v>
      </c>
      <c r="Q608" s="304">
        <f t="shared" ca="1" si="280"/>
        <v>0</v>
      </c>
      <c r="R608" s="306">
        <f t="shared" ca="1" si="281"/>
        <v>0</v>
      </c>
      <c r="S608" s="307">
        <f t="shared" ca="1" si="282"/>
        <v>2.9792999999999985</v>
      </c>
      <c r="T608" s="304">
        <f t="shared" ca="1" si="262"/>
        <v>29.226932999999988</v>
      </c>
      <c r="U608" s="311">
        <f t="shared" ca="1" si="263"/>
        <v>0</v>
      </c>
      <c r="V608" s="306">
        <f t="shared" ca="1" si="264"/>
        <v>1.2261755662506384</v>
      </c>
      <c r="W608" s="304">
        <f t="shared" ca="1" si="265"/>
        <v>27.765755500450794</v>
      </c>
      <c r="Y608" s="314" t="str">
        <f t="shared" ca="1" si="283"/>
        <v/>
      </c>
      <c r="Z608" s="315" t="str">
        <f t="shared" ca="1" si="284"/>
        <v/>
      </c>
      <c r="AA608" s="316" t="str">
        <f t="shared" ca="1" si="285"/>
        <v/>
      </c>
      <c r="AC608" s="310" t="e">
        <f t="shared" ca="1" si="286"/>
        <v>#N/A</v>
      </c>
      <c r="AD608" s="323" t="e">
        <f t="shared" ca="1" si="287"/>
        <v>#N/A</v>
      </c>
      <c r="AE608" s="324" t="e">
        <f t="shared" ca="1" si="266"/>
        <v>#N/A</v>
      </c>
      <c r="AG608" s="306">
        <f t="shared" ca="1" si="288"/>
        <v>0.47341761011020722</v>
      </c>
      <c r="AH608" s="304">
        <f t="shared" ca="1" si="289"/>
        <v>-9.3195386007507111</v>
      </c>
    </row>
    <row r="609" spans="1:34" x14ac:dyDescent="0.2">
      <c r="A609" s="347">
        <f t="shared" ca="1" si="267"/>
        <v>1E-4</v>
      </c>
      <c r="B609" s="304">
        <f t="shared" ca="1" si="268"/>
        <v>36.808900000000506</v>
      </c>
      <c r="D609" s="306">
        <f t="shared" ca="1" si="269"/>
        <v>-0.54911849026589687</v>
      </c>
      <c r="E609" s="307">
        <f t="shared" ca="1" si="270"/>
        <v>-0.50663462125484493</v>
      </c>
      <c r="F609" s="304">
        <f t="shared" ca="1" si="271"/>
        <v>0.74713436261889199</v>
      </c>
      <c r="G609" s="306">
        <f t="shared" ca="1" si="272"/>
        <v>6.1959648363077404</v>
      </c>
      <c r="H609" s="307">
        <f t="shared" ca="1" si="273"/>
        <v>-104.9752730113935</v>
      </c>
      <c r="I609" s="304">
        <f t="shared" ca="1" si="274"/>
        <v>105.15796652688451</v>
      </c>
      <c r="J609" s="306">
        <f t="shared" ca="1" si="275"/>
        <v>745.87074281998321</v>
      </c>
      <c r="K609" s="307">
        <f t="shared" ca="1" si="276"/>
        <v>-9.6023543205399626</v>
      </c>
      <c r="L609" s="304">
        <f t="shared" ca="1" si="261"/>
        <v>745.93255070638304</v>
      </c>
      <c r="M609" s="306">
        <f t="shared" ca="1" si="277"/>
        <v>-1.5118416353878963</v>
      </c>
      <c r="N609" s="304">
        <f t="shared" ca="1" si="278"/>
        <v>-86.622144999882707</v>
      </c>
      <c r="P609" s="310">
        <f t="shared" ca="1" si="279"/>
        <v>23</v>
      </c>
      <c r="Q609" s="304">
        <f t="shared" ca="1" si="280"/>
        <v>0</v>
      </c>
      <c r="R609" s="306">
        <f t="shared" ca="1" si="281"/>
        <v>0</v>
      </c>
      <c r="S609" s="307">
        <f t="shared" ca="1" si="282"/>
        <v>2.9792999999999985</v>
      </c>
      <c r="T609" s="304">
        <f t="shared" ca="1" si="262"/>
        <v>29.226932999999988</v>
      </c>
      <c r="U609" s="311">
        <f t="shared" ca="1" si="263"/>
        <v>0</v>
      </c>
      <c r="V609" s="306">
        <f t="shared" ca="1" si="264"/>
        <v>1.2261768534324484</v>
      </c>
      <c r="W609" s="304">
        <f t="shared" ca="1" si="265"/>
        <v>27.765809646850464</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0.47339975334759643</v>
      </c>
      <c r="AH609" s="304">
        <f t="shared" ca="1" si="289"/>
        <v>-9.3195567752327086</v>
      </c>
    </row>
    <row r="610" spans="1:34" x14ac:dyDescent="0.2">
      <c r="A610" s="347">
        <f t="shared" ca="1" si="267"/>
        <v>1E-4</v>
      </c>
      <c r="B610" s="304">
        <f t="shared" ca="1" si="268"/>
        <v>36.809000000000509</v>
      </c>
      <c r="D610" s="306">
        <f t="shared" ca="1" si="269"/>
        <v>-0.54911444737064652</v>
      </c>
      <c r="E610" s="307">
        <f t="shared" ca="1" si="270"/>
        <v>-0.50661617679795157</v>
      </c>
      <c r="F610" s="304">
        <f t="shared" ca="1" si="271"/>
        <v>0.74711888405028548</v>
      </c>
      <c r="G610" s="306">
        <f t="shared" ca="1" si="272"/>
        <v>6.1959099248630034</v>
      </c>
      <c r="H610" s="307">
        <f t="shared" ca="1" si="273"/>
        <v>-104.97532367301118</v>
      </c>
      <c r="I610" s="304">
        <f t="shared" ca="1" si="274"/>
        <v>105.15801386509008</v>
      </c>
      <c r="J610" s="306">
        <f t="shared" ca="1" si="275"/>
        <v>745.87074281998321</v>
      </c>
      <c r="K610" s="307">
        <f t="shared" ca="1" si="276"/>
        <v>-9.6128518503741827</v>
      </c>
      <c r="L610" s="304">
        <f t="shared" ca="1" si="261"/>
        <v>745.93268591444007</v>
      </c>
      <c r="M610" s="306">
        <f t="shared" ca="1" si="277"/>
        <v>-1.5118421850469645</v>
      </c>
      <c r="N610" s="304">
        <f t="shared" ca="1" si="278"/>
        <v>-86.622176493027482</v>
      </c>
      <c r="P610" s="310">
        <f t="shared" ca="1" si="279"/>
        <v>23</v>
      </c>
      <c r="Q610" s="304">
        <f t="shared" ca="1" si="280"/>
        <v>0</v>
      </c>
      <c r="R610" s="306">
        <f t="shared" ca="1" si="281"/>
        <v>0</v>
      </c>
      <c r="S610" s="307">
        <f t="shared" ca="1" si="282"/>
        <v>2.9792999999999985</v>
      </c>
      <c r="T610" s="304">
        <f t="shared" ca="1" si="262"/>
        <v>29.226932999999988</v>
      </c>
      <c r="U610" s="311">
        <f t="shared" ca="1" si="263"/>
        <v>0</v>
      </c>
      <c r="V610" s="306">
        <f t="shared" ca="1" si="264"/>
        <v>1.2261781406162313</v>
      </c>
      <c r="W610" s="304">
        <f t="shared" ca="1" si="265"/>
        <v>27.765863792415594</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0.47338189685904197</v>
      </c>
      <c r="AH610" s="304">
        <f t="shared" ca="1" si="289"/>
        <v>-9.3195749494345907</v>
      </c>
    </row>
    <row r="611" spans="1:34" x14ac:dyDescent="0.2">
      <c r="A611" s="347">
        <f t="shared" ca="1" si="267"/>
        <v>1E-4</v>
      </c>
      <c r="B611" s="304">
        <f t="shared" ca="1" si="268"/>
        <v>36.809100000000512</v>
      </c>
      <c r="D611" s="306">
        <f t="shared" ca="1" si="269"/>
        <v>-0.54911040448870674</v>
      </c>
      <c r="E611" s="307">
        <f t="shared" ca="1" si="270"/>
        <v>-0.50659773262526286</v>
      </c>
      <c r="F611" s="304">
        <f t="shared" ca="1" si="271"/>
        <v>0.74710340584072332</v>
      </c>
      <c r="G611" s="306">
        <f t="shared" ca="1" si="272"/>
        <v>6.1958550138225545</v>
      </c>
      <c r="H611" s="307">
        <f t="shared" ca="1" si="273"/>
        <v>-104.97537433278444</v>
      </c>
      <c r="I611" s="304">
        <f t="shared" ca="1" si="274"/>
        <v>105.15806120151002</v>
      </c>
      <c r="J611" s="306">
        <f t="shared" ca="1" si="275"/>
        <v>745.87074281998321</v>
      </c>
      <c r="K611" s="307">
        <f t="shared" ca="1" si="276"/>
        <v>-9.6233493852744729</v>
      </c>
      <c r="L611" s="304">
        <f t="shared" ca="1" si="261"/>
        <v>745.93282127026998</v>
      </c>
      <c r="M611" s="306">
        <f t="shared" ca="1" si="277"/>
        <v>-1.5118427347006667</v>
      </c>
      <c r="N611" s="304">
        <f t="shared" ca="1" si="278"/>
        <v>-86.622207985864804</v>
      </c>
      <c r="P611" s="310">
        <f t="shared" ca="1" si="279"/>
        <v>23</v>
      </c>
      <c r="Q611" s="304">
        <f t="shared" ca="1" si="280"/>
        <v>0</v>
      </c>
      <c r="R611" s="306">
        <f t="shared" ca="1" si="281"/>
        <v>0</v>
      </c>
      <c r="S611" s="307">
        <f t="shared" ca="1" si="282"/>
        <v>2.9792999999999985</v>
      </c>
      <c r="T611" s="304">
        <f t="shared" ca="1" si="262"/>
        <v>29.226932999999988</v>
      </c>
      <c r="U611" s="311">
        <f t="shared" ca="1" si="263"/>
        <v>0</v>
      </c>
      <c r="V611" s="306">
        <f t="shared" ca="1" si="264"/>
        <v>1.2261794278019869</v>
      </c>
      <c r="W611" s="304">
        <f t="shared" ca="1" si="265"/>
        <v>27.765917937146163</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0.47336404064453852</v>
      </c>
      <c r="AH611" s="304">
        <f t="shared" ca="1" si="289"/>
        <v>-9.3195931233563609</v>
      </c>
    </row>
    <row r="612" spans="1:34" x14ac:dyDescent="0.2">
      <c r="A612" s="347">
        <f t="shared" ca="1" si="267"/>
        <v>1E-4</v>
      </c>
      <c r="B612" s="304">
        <f t="shared" ca="1" si="268"/>
        <v>36.809200000000516</v>
      </c>
      <c r="D612" s="306">
        <f t="shared" ca="1" si="269"/>
        <v>-0.54910636162007598</v>
      </c>
      <c r="E612" s="307">
        <f t="shared" ca="1" si="270"/>
        <v>-0.50657928873678593</v>
      </c>
      <c r="F612" s="304">
        <f t="shared" ca="1" si="271"/>
        <v>0.74708792799021029</v>
      </c>
      <c r="G612" s="306">
        <f t="shared" ca="1" si="272"/>
        <v>6.195800103186393</v>
      </c>
      <c r="H612" s="307">
        <f t="shared" ca="1" si="273"/>
        <v>-104.97542499071331</v>
      </c>
      <c r="I612" s="304">
        <f t="shared" ca="1" si="274"/>
        <v>105.15810853614437</v>
      </c>
      <c r="J612" s="306">
        <f t="shared" ca="1" si="275"/>
        <v>745.87074281998321</v>
      </c>
      <c r="K612" s="307">
        <f t="shared" ca="1" si="276"/>
        <v>-9.6338469252406487</v>
      </c>
      <c r="L612" s="304">
        <f t="shared" ca="1" si="261"/>
        <v>745.93295677387289</v>
      </c>
      <c r="M612" s="306">
        <f t="shared" ca="1" si="277"/>
        <v>-1.5118432843490026</v>
      </c>
      <c r="N612" s="304">
        <f t="shared" ca="1" si="278"/>
        <v>-86.622239478394675</v>
      </c>
      <c r="P612" s="310">
        <f t="shared" ca="1" si="279"/>
        <v>23</v>
      </c>
      <c r="Q612" s="304">
        <f t="shared" ca="1" si="280"/>
        <v>0</v>
      </c>
      <c r="R612" s="306">
        <f t="shared" ca="1" si="281"/>
        <v>0</v>
      </c>
      <c r="S612" s="307">
        <f t="shared" ca="1" si="282"/>
        <v>2.9792999999999985</v>
      </c>
      <c r="T612" s="304">
        <f t="shared" ca="1" si="262"/>
        <v>29.226932999999988</v>
      </c>
      <c r="U612" s="311">
        <f t="shared" ca="1" si="263"/>
        <v>0</v>
      </c>
      <c r="V612" s="306">
        <f t="shared" ca="1" si="264"/>
        <v>1.2261807149897157</v>
      </c>
      <c r="W612" s="304">
        <f t="shared" ca="1" si="265"/>
        <v>27.765972081042221</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0.47334618470409318</v>
      </c>
      <c r="AH612" s="304">
        <f t="shared" ca="1" si="289"/>
        <v>-9.3196112969980121</v>
      </c>
    </row>
    <row r="613" spans="1:34" x14ac:dyDescent="0.2">
      <c r="A613" s="347">
        <f t="shared" ca="1" si="267"/>
        <v>1E-4</v>
      </c>
      <c r="B613" s="304">
        <f t="shared" ca="1" si="268"/>
        <v>36.809300000000519</v>
      </c>
      <c r="D613" s="306">
        <f t="shared" ca="1" si="269"/>
        <v>-0.5491023187647559</v>
      </c>
      <c r="E613" s="307">
        <f t="shared" ca="1" si="270"/>
        <v>-0.50656084513250654</v>
      </c>
      <c r="F613" s="304">
        <f t="shared" ca="1" si="271"/>
        <v>0.74707245049873905</v>
      </c>
      <c r="G613" s="306">
        <f t="shared" ca="1" si="272"/>
        <v>6.1957451929545169</v>
      </c>
      <c r="H613" s="307">
        <f t="shared" ca="1" si="273"/>
        <v>-104.97547564679782</v>
      </c>
      <c r="I613" s="304">
        <f t="shared" ca="1" si="274"/>
        <v>105.15815586899316</v>
      </c>
      <c r="J613" s="306">
        <f t="shared" ca="1" si="275"/>
        <v>745.87074281998321</v>
      </c>
      <c r="K613" s="307">
        <f t="shared" ca="1" si="276"/>
        <v>-9.6443444702725234</v>
      </c>
      <c r="L613" s="304">
        <f t="shared" ca="1" si="261"/>
        <v>745.93309242524879</v>
      </c>
      <c r="M613" s="306">
        <f t="shared" ca="1" si="277"/>
        <v>-1.5118438339919726</v>
      </c>
      <c r="N613" s="304">
        <f t="shared" ca="1" si="278"/>
        <v>-86.622270970617095</v>
      </c>
      <c r="P613" s="310">
        <f t="shared" ca="1" si="279"/>
        <v>23</v>
      </c>
      <c r="Q613" s="304">
        <f t="shared" ca="1" si="280"/>
        <v>0</v>
      </c>
      <c r="R613" s="306">
        <f t="shared" ca="1" si="281"/>
        <v>0</v>
      </c>
      <c r="S613" s="307">
        <f t="shared" ca="1" si="282"/>
        <v>2.9792999999999985</v>
      </c>
      <c r="T613" s="304">
        <f t="shared" ca="1" si="262"/>
        <v>29.226932999999988</v>
      </c>
      <c r="U613" s="311">
        <f t="shared" ca="1" si="263"/>
        <v>0</v>
      </c>
      <c r="V613" s="306">
        <f t="shared" ca="1" si="264"/>
        <v>1.2261820021794174</v>
      </c>
      <c r="W613" s="304">
        <f t="shared" ca="1" si="265"/>
        <v>27.766026224103769</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0.47332832903768995</v>
      </c>
      <c r="AH613" s="304">
        <f t="shared" ca="1" si="289"/>
        <v>-9.3196294703595601</v>
      </c>
    </row>
    <row r="614" spans="1:34" x14ac:dyDescent="0.2">
      <c r="A614" s="347">
        <f t="shared" ca="1" si="267"/>
        <v>1E-4</v>
      </c>
      <c r="B614" s="304">
        <f t="shared" ca="1" si="268"/>
        <v>36.809400000000522</v>
      </c>
      <c r="D614" s="306">
        <f t="shared" ca="1" si="269"/>
        <v>-0.54909827592274518</v>
      </c>
      <c r="E614" s="307">
        <f t="shared" ca="1" si="270"/>
        <v>-0.50654240181242471</v>
      </c>
      <c r="F614" s="304">
        <f t="shared" ca="1" si="271"/>
        <v>0.74705697336630961</v>
      </c>
      <c r="G614" s="306">
        <f t="shared" ca="1" si="272"/>
        <v>6.1956902831269245</v>
      </c>
      <c r="H614" s="307">
        <f t="shared" ca="1" si="273"/>
        <v>-104.975526301038</v>
      </c>
      <c r="I614" s="304">
        <f t="shared" ca="1" si="274"/>
        <v>105.15820320005642</v>
      </c>
      <c r="J614" s="306">
        <f t="shared" ca="1" si="275"/>
        <v>745.87074281998321</v>
      </c>
      <c r="K614" s="307">
        <f t="shared" ca="1" si="276"/>
        <v>-9.6548420203699159</v>
      </c>
      <c r="L614" s="304">
        <f t="shared" ca="1" si="261"/>
        <v>745.93322822439802</v>
      </c>
      <c r="M614" s="306">
        <f t="shared" ca="1" si="277"/>
        <v>-1.5118443836295765</v>
      </c>
      <c r="N614" s="304">
        <f t="shared" ca="1" si="278"/>
        <v>-86.622302462532062</v>
      </c>
      <c r="P614" s="310">
        <f t="shared" ca="1" si="279"/>
        <v>23</v>
      </c>
      <c r="Q614" s="304">
        <f t="shared" ca="1" si="280"/>
        <v>0</v>
      </c>
      <c r="R614" s="306">
        <f t="shared" ca="1" si="281"/>
        <v>0</v>
      </c>
      <c r="S614" s="307">
        <f t="shared" ca="1" si="282"/>
        <v>2.9792999999999985</v>
      </c>
      <c r="T614" s="304">
        <f t="shared" ca="1" si="262"/>
        <v>29.226932999999988</v>
      </c>
      <c r="U614" s="311">
        <f t="shared" ca="1" si="263"/>
        <v>0</v>
      </c>
      <c r="V614" s="306">
        <f t="shared" ca="1" si="264"/>
        <v>1.2261832893710924</v>
      </c>
      <c r="W614" s="304">
        <f t="shared" ca="1" si="265"/>
        <v>27.766080366330819</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0.47331047364533241</v>
      </c>
      <c r="AH614" s="304">
        <f t="shared" ca="1" si="289"/>
        <v>-9.3196476434410034</v>
      </c>
    </row>
    <row r="615" spans="1:34" x14ac:dyDescent="0.2">
      <c r="A615" s="347">
        <f t="shared" ca="1" si="267"/>
        <v>1E-4</v>
      </c>
      <c r="B615" s="304">
        <f t="shared" ca="1" si="268"/>
        <v>36.809500000000526</v>
      </c>
      <c r="D615" s="306">
        <f t="shared" ca="1" si="269"/>
        <v>-0.54909423309404692</v>
      </c>
      <c r="E615" s="307">
        <f t="shared" ca="1" si="270"/>
        <v>-0.50652395877653689</v>
      </c>
      <c r="F615" s="304">
        <f t="shared" ca="1" si="271"/>
        <v>0.74704149659292307</v>
      </c>
      <c r="G615" s="306">
        <f t="shared" ca="1" si="272"/>
        <v>6.1956353737036149</v>
      </c>
      <c r="H615" s="307">
        <f t="shared" ca="1" si="273"/>
        <v>-104.97557695343389</v>
      </c>
      <c r="I615" s="304">
        <f t="shared" ca="1" si="274"/>
        <v>105.15825052933415</v>
      </c>
      <c r="J615" s="306">
        <f t="shared" ca="1" si="275"/>
        <v>745.87074281998321</v>
      </c>
      <c r="K615" s="307">
        <f t="shared" ca="1" si="276"/>
        <v>-9.6653395755326397</v>
      </c>
      <c r="L615" s="304">
        <f t="shared" ca="1" si="261"/>
        <v>745.93336417132059</v>
      </c>
      <c r="M615" s="306">
        <f t="shared" ca="1" si="277"/>
        <v>-1.5118449332618147</v>
      </c>
      <c r="N615" s="304">
        <f t="shared" ca="1" si="278"/>
        <v>-86.622333954139592</v>
      </c>
      <c r="P615" s="310">
        <f t="shared" ca="1" si="279"/>
        <v>23</v>
      </c>
      <c r="Q615" s="304">
        <f t="shared" ca="1" si="280"/>
        <v>0</v>
      </c>
      <c r="R615" s="306">
        <f t="shared" ca="1" si="281"/>
        <v>0</v>
      </c>
      <c r="S615" s="307">
        <f t="shared" ca="1" si="282"/>
        <v>2.9792999999999985</v>
      </c>
      <c r="T615" s="304">
        <f t="shared" ca="1" si="262"/>
        <v>29.226932999999988</v>
      </c>
      <c r="U615" s="311">
        <f t="shared" ca="1" si="263"/>
        <v>0</v>
      </c>
      <c r="V615" s="306">
        <f t="shared" ca="1" si="264"/>
        <v>1.2261845765647401</v>
      </c>
      <c r="W615" s="304">
        <f t="shared" ca="1" si="265"/>
        <v>27.766134507723358</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0.47329261852701165</v>
      </c>
      <c r="AH615" s="304">
        <f t="shared" ca="1" si="289"/>
        <v>-9.3196658162423489</v>
      </c>
    </row>
    <row r="616" spans="1:34" x14ac:dyDescent="0.2">
      <c r="A616" s="347">
        <f t="shared" ca="1" si="267"/>
        <v>1E-4</v>
      </c>
      <c r="B616" s="304">
        <f t="shared" ca="1" si="268"/>
        <v>36.809600000000529</v>
      </c>
      <c r="D616" s="306">
        <f t="shared" ca="1" si="269"/>
        <v>-0.54909019027865758</v>
      </c>
      <c r="E616" s="307">
        <f t="shared" ca="1" si="270"/>
        <v>-0.50650551602484128</v>
      </c>
      <c r="F616" s="304">
        <f t="shared" ca="1" si="271"/>
        <v>0.74702602017857656</v>
      </c>
      <c r="G616" s="306">
        <f t="shared" ca="1" si="272"/>
        <v>6.1955804646845873</v>
      </c>
      <c r="H616" s="307">
        <f t="shared" ca="1" si="273"/>
        <v>-104.97562760398549</v>
      </c>
      <c r="I616" s="304">
        <f t="shared" ca="1" si="274"/>
        <v>105.15829785682641</v>
      </c>
      <c r="J616" s="306">
        <f t="shared" ca="1" si="275"/>
        <v>745.87074281998321</v>
      </c>
      <c r="K616" s="307">
        <f t="shared" ca="1" si="276"/>
        <v>-9.67583713576051</v>
      </c>
      <c r="L616" s="304">
        <f t="shared" ca="1" si="261"/>
        <v>745.93350026601661</v>
      </c>
      <c r="M616" s="306">
        <f t="shared" ca="1" si="277"/>
        <v>-1.5118454828886867</v>
      </c>
      <c r="N616" s="304">
        <f t="shared" ca="1" si="278"/>
        <v>-86.622365445439669</v>
      </c>
      <c r="P616" s="310">
        <f t="shared" ca="1" si="279"/>
        <v>23</v>
      </c>
      <c r="Q616" s="304">
        <f t="shared" ca="1" si="280"/>
        <v>0</v>
      </c>
      <c r="R616" s="306">
        <f t="shared" ca="1" si="281"/>
        <v>0</v>
      </c>
      <c r="S616" s="307">
        <f t="shared" ca="1" si="282"/>
        <v>2.9792999999999985</v>
      </c>
      <c r="T616" s="304">
        <f t="shared" ca="1" si="262"/>
        <v>29.226932999999988</v>
      </c>
      <c r="U616" s="311">
        <f t="shared" ca="1" si="263"/>
        <v>0</v>
      </c>
      <c r="V616" s="306">
        <f t="shared" ca="1" si="264"/>
        <v>1.2261858637603613</v>
      </c>
      <c r="W616" s="304">
        <f t="shared" ca="1" si="265"/>
        <v>27.766188648281432</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0.4732747636827348</v>
      </c>
      <c r="AH616" s="304">
        <f t="shared" ca="1" si="289"/>
        <v>-9.3196839887635932</v>
      </c>
    </row>
    <row r="617" spans="1:34" x14ac:dyDescent="0.2">
      <c r="A617" s="347">
        <f t="shared" ca="1" si="267"/>
        <v>1E-4</v>
      </c>
      <c r="B617" s="304">
        <f t="shared" ca="1" si="268"/>
        <v>36.809700000000532</v>
      </c>
      <c r="D617" s="306">
        <f t="shared" ca="1" si="269"/>
        <v>-0.54908614747658291</v>
      </c>
      <c r="E617" s="307">
        <f t="shared" ca="1" si="270"/>
        <v>-0.50648707355732725</v>
      </c>
      <c r="F617" s="304">
        <f t="shared" ca="1" si="271"/>
        <v>0.74701054412326817</v>
      </c>
      <c r="G617" s="306">
        <f t="shared" ca="1" si="272"/>
        <v>6.1955255560698399</v>
      </c>
      <c r="H617" s="307">
        <f t="shared" ca="1" si="273"/>
        <v>-104.97567825269284</v>
      </c>
      <c r="I617" s="304">
        <f t="shared" ca="1" si="274"/>
        <v>105.15834518253321</v>
      </c>
      <c r="J617" s="306">
        <f t="shared" ca="1" si="275"/>
        <v>745.87074281998321</v>
      </c>
      <c r="K617" s="307">
        <f t="shared" ca="1" si="276"/>
        <v>-9.6863347010533438</v>
      </c>
      <c r="L617" s="304">
        <f t="shared" ca="1" si="261"/>
        <v>745.93363650848619</v>
      </c>
      <c r="M617" s="306">
        <f t="shared" ca="1" si="277"/>
        <v>-1.5118460325101932</v>
      </c>
      <c r="N617" s="304">
        <f t="shared" ca="1" si="278"/>
        <v>-86.622396936432324</v>
      </c>
      <c r="P617" s="310">
        <f t="shared" ca="1" si="279"/>
        <v>23</v>
      </c>
      <c r="Q617" s="304">
        <f t="shared" ca="1" si="280"/>
        <v>0</v>
      </c>
      <c r="R617" s="306">
        <f t="shared" ca="1" si="281"/>
        <v>0</v>
      </c>
      <c r="S617" s="307">
        <f t="shared" ca="1" si="282"/>
        <v>2.9792999999999985</v>
      </c>
      <c r="T617" s="304">
        <f t="shared" ca="1" si="262"/>
        <v>29.226932999999988</v>
      </c>
      <c r="U617" s="311">
        <f t="shared" ca="1" si="263"/>
        <v>0</v>
      </c>
      <c r="V617" s="306">
        <f t="shared" ca="1" si="264"/>
        <v>1.2261871509579552</v>
      </c>
      <c r="W617" s="304">
        <f t="shared" ca="1" si="265"/>
        <v>27.766242788005034</v>
      </c>
      <c r="Y617" s="314" t="str">
        <f t="shared" ca="1" si="283"/>
        <v/>
      </c>
      <c r="Z617" s="315" t="str">
        <f t="shared" ca="1" si="284"/>
        <v/>
      </c>
      <c r="AA617" s="316" t="str">
        <f t="shared" ca="1" si="285"/>
        <v/>
      </c>
      <c r="AC617" s="310" t="e">
        <f t="shared" ca="1" si="286"/>
        <v>#N/A</v>
      </c>
      <c r="AD617" s="323" t="e">
        <f t="shared" ca="1" si="287"/>
        <v>#N/A</v>
      </c>
      <c r="AE617" s="324" t="e">
        <f t="shared" ca="1" si="266"/>
        <v>#N/A</v>
      </c>
      <c r="AG617" s="306">
        <f t="shared" ca="1" si="288"/>
        <v>0.47325690911248408</v>
      </c>
      <c r="AH617" s="304">
        <f t="shared" ca="1" si="289"/>
        <v>-9.3197021610047486</v>
      </c>
    </row>
    <row r="618" spans="1:34" x14ac:dyDescent="0.2">
      <c r="A618" s="347">
        <f t="shared" ca="1" si="267"/>
        <v>1E-4</v>
      </c>
      <c r="B618" s="304">
        <f t="shared" ca="1" si="268"/>
        <v>36.809800000000536</v>
      </c>
      <c r="D618" s="306">
        <f t="shared" ca="1" si="269"/>
        <v>-0.54908210468781715</v>
      </c>
      <c r="E618" s="307">
        <f t="shared" ca="1" si="270"/>
        <v>-0.50646863137399833</v>
      </c>
      <c r="F618" s="304">
        <f t="shared" ca="1" si="271"/>
        <v>0.74699506842699703</v>
      </c>
      <c r="G618" s="306">
        <f t="shared" ca="1" si="272"/>
        <v>6.1954706478593708</v>
      </c>
      <c r="H618" s="307">
        <f t="shared" ca="1" si="273"/>
        <v>-104.97572889955599</v>
      </c>
      <c r="I618" s="304">
        <f t="shared" ca="1" si="274"/>
        <v>105.15839250645458</v>
      </c>
      <c r="J618" s="306">
        <f t="shared" ca="1" si="275"/>
        <v>745.87074281998321</v>
      </c>
      <c r="K618" s="307">
        <f t="shared" ca="1" si="276"/>
        <v>-9.6968322714109565</v>
      </c>
      <c r="L618" s="304">
        <f t="shared" ca="1" si="261"/>
        <v>745.93377289872956</v>
      </c>
      <c r="M618" s="306">
        <f t="shared" ca="1" si="277"/>
        <v>-1.5118465821263338</v>
      </c>
      <c r="N618" s="304">
        <f t="shared" ca="1" si="278"/>
        <v>-86.622428427117526</v>
      </c>
      <c r="P618" s="310">
        <f t="shared" ca="1" si="279"/>
        <v>23</v>
      </c>
      <c r="Q618" s="304">
        <f t="shared" ca="1" si="280"/>
        <v>0</v>
      </c>
      <c r="R618" s="306">
        <f t="shared" ca="1" si="281"/>
        <v>0</v>
      </c>
      <c r="S618" s="307">
        <f t="shared" ca="1" si="282"/>
        <v>2.9792999999999985</v>
      </c>
      <c r="T618" s="304">
        <f t="shared" ca="1" si="262"/>
        <v>29.226932999999988</v>
      </c>
      <c r="U618" s="311">
        <f t="shared" ca="1" si="263"/>
        <v>0</v>
      </c>
      <c r="V618" s="306">
        <f t="shared" ca="1" si="264"/>
        <v>1.2261884381575217</v>
      </c>
      <c r="W618" s="304">
        <f t="shared" ca="1" si="265"/>
        <v>27.766296926894146</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0.4732390548162666</v>
      </c>
      <c r="AH618" s="304">
        <f t="shared" ca="1" si="289"/>
        <v>-9.3197203329658134</v>
      </c>
    </row>
    <row r="619" spans="1:34" x14ac:dyDescent="0.2">
      <c r="A619" s="347">
        <f t="shared" ca="1" si="267"/>
        <v>1E-4</v>
      </c>
      <c r="B619" s="304">
        <f t="shared" ca="1" si="268"/>
        <v>36.809900000000539</v>
      </c>
      <c r="D619" s="306">
        <f t="shared" ca="1" si="269"/>
        <v>-0.54907806191236508</v>
      </c>
      <c r="E619" s="307">
        <f t="shared" ca="1" si="270"/>
        <v>-0.50645018947485809</v>
      </c>
      <c r="F619" s="304">
        <f t="shared" ca="1" si="271"/>
        <v>0.74697959308977024</v>
      </c>
      <c r="G619" s="306">
        <f t="shared" ca="1" si="272"/>
        <v>6.1954157400531793</v>
      </c>
      <c r="H619" s="307">
        <f t="shared" ca="1" si="273"/>
        <v>-104.97577954457493</v>
      </c>
      <c r="I619" s="304">
        <f t="shared" ca="1" si="274"/>
        <v>105.15843982859053</v>
      </c>
      <c r="J619" s="306">
        <f t="shared" ca="1" si="275"/>
        <v>745.87074281998321</v>
      </c>
      <c r="K619" s="307">
        <f t="shared" ca="1" si="276"/>
        <v>-9.7073298468331632</v>
      </c>
      <c r="L619" s="304">
        <f t="shared" ca="1" si="261"/>
        <v>745.93390943674672</v>
      </c>
      <c r="M619" s="306">
        <f t="shared" ca="1" si="277"/>
        <v>-1.5118471317371087</v>
      </c>
      <c r="N619" s="304">
        <f t="shared" ca="1" si="278"/>
        <v>-86.622459917495306</v>
      </c>
      <c r="P619" s="310">
        <f t="shared" ca="1" si="279"/>
        <v>23</v>
      </c>
      <c r="Q619" s="304">
        <f t="shared" ca="1" si="280"/>
        <v>0</v>
      </c>
      <c r="R619" s="306">
        <f t="shared" ca="1" si="281"/>
        <v>0</v>
      </c>
      <c r="S619" s="307">
        <f t="shared" ca="1" si="282"/>
        <v>2.9792999999999985</v>
      </c>
      <c r="T619" s="304">
        <f t="shared" ca="1" si="262"/>
        <v>29.226932999999988</v>
      </c>
      <c r="U619" s="311">
        <f t="shared" ca="1" si="263"/>
        <v>0</v>
      </c>
      <c r="V619" s="306">
        <f t="shared" ca="1" si="264"/>
        <v>1.2261897253590617</v>
      </c>
      <c r="W619" s="304">
        <f t="shared" ca="1" si="265"/>
        <v>27.766351064948818</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0.47322120079408414</v>
      </c>
      <c r="AH619" s="304">
        <f t="shared" ca="1" si="289"/>
        <v>-9.3197385046467822</v>
      </c>
    </row>
    <row r="620" spans="1:34" x14ac:dyDescent="0.2">
      <c r="A620" s="347">
        <f t="shared" ca="1" si="267"/>
        <v>1E-4</v>
      </c>
      <c r="B620" s="304">
        <f t="shared" ca="1" si="268"/>
        <v>36.810000000000542</v>
      </c>
      <c r="D620" s="306">
        <f t="shared" ca="1" si="269"/>
        <v>-0.54907401915022636</v>
      </c>
      <c r="E620" s="307">
        <f t="shared" ca="1" si="270"/>
        <v>-0.50643174785989054</v>
      </c>
      <c r="F620" s="304">
        <f t="shared" ca="1" si="271"/>
        <v>0.7469641181115777</v>
      </c>
      <c r="G620" s="306">
        <f t="shared" ca="1" si="272"/>
        <v>6.1953608326512644</v>
      </c>
      <c r="H620" s="307">
        <f t="shared" ca="1" si="273"/>
        <v>-104.97583018774972</v>
      </c>
      <c r="I620" s="304">
        <f t="shared" ca="1" si="274"/>
        <v>105.15848714894112</v>
      </c>
      <c r="J620" s="306">
        <f t="shared" ca="1" si="275"/>
        <v>745.87074281998321</v>
      </c>
      <c r="K620" s="307">
        <f t="shared" ca="1" si="276"/>
        <v>-9.7178274273197793</v>
      </c>
      <c r="L620" s="304">
        <f t="shared" ca="1" si="261"/>
        <v>745.93404612253801</v>
      </c>
      <c r="M620" s="306">
        <f t="shared" ca="1" si="277"/>
        <v>-1.5118476813425181</v>
      </c>
      <c r="N620" s="304">
        <f t="shared" ca="1" si="278"/>
        <v>-86.622491407565661</v>
      </c>
      <c r="P620" s="310">
        <f t="shared" ca="1" si="279"/>
        <v>23</v>
      </c>
      <c r="Q620" s="304">
        <f t="shared" ca="1" si="280"/>
        <v>0</v>
      </c>
      <c r="R620" s="306">
        <f t="shared" ca="1" si="281"/>
        <v>0</v>
      </c>
      <c r="S620" s="307">
        <f t="shared" ca="1" si="282"/>
        <v>2.9792999999999985</v>
      </c>
      <c r="T620" s="304">
        <f t="shared" ca="1" si="262"/>
        <v>29.226932999999988</v>
      </c>
      <c r="U620" s="311">
        <f t="shared" ca="1" si="263"/>
        <v>0</v>
      </c>
      <c r="V620" s="306">
        <f t="shared" ca="1" si="264"/>
        <v>1.2261910125625743</v>
      </c>
      <c r="W620" s="304">
        <f t="shared" ca="1" si="265"/>
        <v>27.766405202169047</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0.47320334704592071</v>
      </c>
      <c r="AH620" s="304">
        <f t="shared" ca="1" si="289"/>
        <v>-9.3197566760476729</v>
      </c>
    </row>
    <row r="621" spans="1:34" x14ac:dyDescent="0.2">
      <c r="A621" s="347">
        <f t="shared" ca="1" si="267"/>
        <v>1E-4</v>
      </c>
      <c r="B621" s="304">
        <f t="shared" ca="1" si="268"/>
        <v>36.810100000000546</v>
      </c>
      <c r="D621" s="306">
        <f t="shared" ca="1" si="269"/>
        <v>-0.54906997640139954</v>
      </c>
      <c r="E621" s="307">
        <f t="shared" ca="1" si="270"/>
        <v>-0.50641330652909566</v>
      </c>
      <c r="F621" s="304">
        <f t="shared" ca="1" si="271"/>
        <v>0.7469486434924193</v>
      </c>
      <c r="G621" s="306">
        <f t="shared" ca="1" si="272"/>
        <v>6.1953059256536243</v>
      </c>
      <c r="H621" s="307">
        <f t="shared" ca="1" si="273"/>
        <v>-104.97588082908038</v>
      </c>
      <c r="I621" s="304">
        <f t="shared" ca="1" si="274"/>
        <v>105.15853446750637</v>
      </c>
      <c r="J621" s="306">
        <f t="shared" ca="1" si="275"/>
        <v>745.87074281998321</v>
      </c>
      <c r="K621" s="307">
        <f t="shared" ca="1" si="276"/>
        <v>-9.72832501287062</v>
      </c>
      <c r="L621" s="304">
        <f t="shared" ca="1" si="261"/>
        <v>745.93418295610343</v>
      </c>
      <c r="M621" s="306">
        <f t="shared" ca="1" si="277"/>
        <v>-1.5118482309425618</v>
      </c>
      <c r="N621" s="304">
        <f t="shared" ca="1" si="278"/>
        <v>-86.622522897328579</v>
      </c>
      <c r="P621" s="310">
        <f t="shared" ca="1" si="279"/>
        <v>23</v>
      </c>
      <c r="Q621" s="304">
        <f t="shared" ca="1" si="280"/>
        <v>0</v>
      </c>
      <c r="R621" s="306">
        <f t="shared" ca="1" si="281"/>
        <v>0</v>
      </c>
      <c r="S621" s="307">
        <f t="shared" ca="1" si="282"/>
        <v>2.9792999999999985</v>
      </c>
      <c r="T621" s="304">
        <f t="shared" ca="1" si="262"/>
        <v>29.226932999999988</v>
      </c>
      <c r="U621" s="311">
        <f t="shared" ca="1" si="263"/>
        <v>0</v>
      </c>
      <c r="V621" s="306">
        <f t="shared" ca="1" si="264"/>
        <v>1.2261922997680597</v>
      </c>
      <c r="W621" s="304">
        <f t="shared" ca="1" si="265"/>
        <v>27.766459338554842</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0.47318549357177808</v>
      </c>
      <c r="AH621" s="304">
        <f t="shared" ca="1" si="289"/>
        <v>-9.3197748471684836</v>
      </c>
    </row>
    <row r="622" spans="1:34" x14ac:dyDescent="0.2">
      <c r="A622" s="347">
        <f t="shared" ca="1" si="267"/>
        <v>1E-4</v>
      </c>
      <c r="B622" s="304">
        <f t="shared" ca="1" si="268"/>
        <v>36.810200000000549</v>
      </c>
      <c r="D622" s="306">
        <f t="shared" ca="1" si="269"/>
        <v>-0.54906593366588752</v>
      </c>
      <c r="E622" s="307">
        <f t="shared" ca="1" si="270"/>
        <v>-0.50639486548246992</v>
      </c>
      <c r="F622" s="304">
        <f t="shared" ca="1" si="271"/>
        <v>0.74693316923229591</v>
      </c>
      <c r="G622" s="306">
        <f t="shared" ca="1" si="272"/>
        <v>6.1952510190602581</v>
      </c>
      <c r="H622" s="307">
        <f t="shared" ca="1" si="273"/>
        <v>-104.97593146856693</v>
      </c>
      <c r="I622" s="304">
        <f t="shared" ca="1" si="274"/>
        <v>105.15858178428628</v>
      </c>
      <c r="J622" s="306">
        <f t="shared" ca="1" si="275"/>
        <v>745.87074281998321</v>
      </c>
      <c r="K622" s="307">
        <f t="shared" ca="1" si="276"/>
        <v>-9.7388226034855023</v>
      </c>
      <c r="L622" s="304">
        <f t="shared" ca="1" si="261"/>
        <v>745.93431993744309</v>
      </c>
      <c r="M622" s="306">
        <f t="shared" ca="1" si="277"/>
        <v>-1.5118487805372403</v>
      </c>
      <c r="N622" s="304">
        <f t="shared" ca="1" si="278"/>
        <v>-86.622554386784103</v>
      </c>
      <c r="P622" s="310">
        <f t="shared" ca="1" si="279"/>
        <v>23</v>
      </c>
      <c r="Q622" s="304">
        <f t="shared" ca="1" si="280"/>
        <v>0</v>
      </c>
      <c r="R622" s="306">
        <f t="shared" ca="1" si="281"/>
        <v>0</v>
      </c>
      <c r="S622" s="307">
        <f t="shared" ca="1" si="282"/>
        <v>2.9792999999999985</v>
      </c>
      <c r="T622" s="304">
        <f t="shared" ca="1" si="262"/>
        <v>29.226932999999988</v>
      </c>
      <c r="U622" s="311">
        <f t="shared" ca="1" si="263"/>
        <v>0</v>
      </c>
      <c r="V622" s="306">
        <f t="shared" ca="1" si="264"/>
        <v>1.2261935869755178</v>
      </c>
      <c r="W622" s="304">
        <f t="shared" ca="1" si="265"/>
        <v>27.766513474106198</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0.47316764037165449</v>
      </c>
      <c r="AH622" s="304">
        <f t="shared" ca="1" si="289"/>
        <v>-9.3197930180092161</v>
      </c>
    </row>
    <row r="623" spans="1:34" x14ac:dyDescent="0.2">
      <c r="A623" s="347">
        <f t="shared" ca="1" si="267"/>
        <v>1E-4</v>
      </c>
      <c r="B623" s="304">
        <f t="shared" ca="1" si="268"/>
        <v>36.810300000000552</v>
      </c>
      <c r="D623" s="306">
        <f t="shared" ca="1" si="269"/>
        <v>-0.54906189094368696</v>
      </c>
      <c r="E623" s="307">
        <f t="shared" ca="1" si="270"/>
        <v>-0.50637642472002042</v>
      </c>
      <c r="F623" s="304">
        <f t="shared" ca="1" si="271"/>
        <v>0.746917695331211</v>
      </c>
      <c r="G623" s="306">
        <f t="shared" ca="1" si="272"/>
        <v>6.1951961128711641</v>
      </c>
      <c r="H623" s="307">
        <f t="shared" ca="1" si="273"/>
        <v>-104.9759821062094</v>
      </c>
      <c r="I623" s="304">
        <f t="shared" ca="1" si="274"/>
        <v>105.15862909928092</v>
      </c>
      <c r="J623" s="306">
        <f t="shared" ca="1" si="275"/>
        <v>745.87074281998321</v>
      </c>
      <c r="K623" s="307">
        <f t="shared" ca="1" si="276"/>
        <v>-9.7493201991642415</v>
      </c>
      <c r="L623" s="304">
        <f t="shared" ca="1" si="261"/>
        <v>745.93445706655712</v>
      </c>
      <c r="M623" s="306">
        <f t="shared" ca="1" si="277"/>
        <v>-1.511849330126553</v>
      </c>
      <c r="N623" s="304">
        <f t="shared" ca="1" si="278"/>
        <v>-86.622585875932188</v>
      </c>
      <c r="P623" s="310">
        <f t="shared" ca="1" si="279"/>
        <v>23</v>
      </c>
      <c r="Q623" s="304">
        <f t="shared" ca="1" si="280"/>
        <v>0</v>
      </c>
      <c r="R623" s="306">
        <f t="shared" ca="1" si="281"/>
        <v>0</v>
      </c>
      <c r="S623" s="307">
        <f t="shared" ca="1" si="282"/>
        <v>2.9792999999999985</v>
      </c>
      <c r="T623" s="304">
        <f t="shared" ca="1" si="262"/>
        <v>29.226932999999988</v>
      </c>
      <c r="U623" s="311">
        <f t="shared" ca="1" si="263"/>
        <v>0</v>
      </c>
      <c r="V623" s="306">
        <f t="shared" ca="1" si="264"/>
        <v>1.2261948741849491</v>
      </c>
      <c r="W623" s="304">
        <f t="shared" ca="1" si="265"/>
        <v>27.766567608823152</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0.47314978744555169</v>
      </c>
      <c r="AH623" s="304">
        <f t="shared" ca="1" si="289"/>
        <v>-9.3198111885698687</v>
      </c>
    </row>
    <row r="624" spans="1:34" x14ac:dyDescent="0.2">
      <c r="A624" s="347">
        <f t="shared" ca="1" si="267"/>
        <v>1E-4</v>
      </c>
      <c r="B624" s="304">
        <f t="shared" ca="1" si="268"/>
        <v>36.810400000000556</v>
      </c>
      <c r="D624" s="306">
        <f t="shared" ca="1" si="269"/>
        <v>-0.54905784823480364</v>
      </c>
      <c r="E624" s="307">
        <f t="shared" ca="1" si="270"/>
        <v>-0.50635798424172584</v>
      </c>
      <c r="F624" s="304">
        <f t="shared" ca="1" si="271"/>
        <v>0.74690222178915533</v>
      </c>
      <c r="G624" s="306">
        <f t="shared" ca="1" si="272"/>
        <v>6.1951412070863405</v>
      </c>
      <c r="H624" s="307">
        <f t="shared" ca="1" si="273"/>
        <v>-104.97603274200783</v>
      </c>
      <c r="I624" s="304">
        <f t="shared" ca="1" si="274"/>
        <v>105.15867641249028</v>
      </c>
      <c r="J624" s="306">
        <f t="shared" ca="1" si="275"/>
        <v>745.87074281998321</v>
      </c>
      <c r="K624" s="307">
        <f t="shared" ca="1" si="276"/>
        <v>-9.7598177999066529</v>
      </c>
      <c r="L624" s="304">
        <f t="shared" ca="1" si="261"/>
        <v>745.93459434344572</v>
      </c>
      <c r="M624" s="306">
        <f t="shared" ca="1" si="277"/>
        <v>-1.5118498797105007</v>
      </c>
      <c r="N624" s="304">
        <f t="shared" ca="1" si="278"/>
        <v>-86.622617364772879</v>
      </c>
      <c r="P624" s="310">
        <f t="shared" ca="1" si="279"/>
        <v>23</v>
      </c>
      <c r="Q624" s="304">
        <f t="shared" ca="1" si="280"/>
        <v>0</v>
      </c>
      <c r="R624" s="306">
        <f t="shared" ca="1" si="281"/>
        <v>0</v>
      </c>
      <c r="S624" s="307">
        <f t="shared" ca="1" si="282"/>
        <v>2.9792999999999985</v>
      </c>
      <c r="T624" s="304">
        <f t="shared" ca="1" si="262"/>
        <v>29.226932999999988</v>
      </c>
      <c r="U624" s="311">
        <f t="shared" ca="1" si="263"/>
        <v>0</v>
      </c>
      <c r="V624" s="306">
        <f t="shared" ca="1" si="264"/>
        <v>1.226196161396353</v>
      </c>
      <c r="W624" s="304">
        <f t="shared" ca="1" si="265"/>
        <v>27.766621742705698</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0.4731319347934555</v>
      </c>
      <c r="AH624" s="304">
        <f t="shared" ca="1" si="289"/>
        <v>-9.3198293588504573</v>
      </c>
    </row>
    <row r="625" spans="1:34" x14ac:dyDescent="0.2">
      <c r="A625" s="347">
        <f t="shared" ca="1" si="267"/>
        <v>1E-4</v>
      </c>
      <c r="B625" s="304">
        <f t="shared" ca="1" si="268"/>
        <v>36.810500000000559</v>
      </c>
      <c r="D625" s="306">
        <f t="shared" ca="1" si="269"/>
        <v>-0.54905380553923167</v>
      </c>
      <c r="E625" s="307">
        <f t="shared" ca="1" si="270"/>
        <v>-0.50633954404759329</v>
      </c>
      <c r="F625" s="304">
        <f t="shared" ca="1" si="271"/>
        <v>0.74688674860613047</v>
      </c>
      <c r="G625" s="306">
        <f t="shared" ca="1" si="272"/>
        <v>6.1950863017057864</v>
      </c>
      <c r="H625" s="307">
        <f t="shared" ca="1" si="273"/>
        <v>-104.97608337596223</v>
      </c>
      <c r="I625" s="304">
        <f t="shared" ca="1" si="274"/>
        <v>105.15872372391441</v>
      </c>
      <c r="J625" s="306">
        <f t="shared" ca="1" si="275"/>
        <v>745.87074281998321</v>
      </c>
      <c r="K625" s="307">
        <f t="shared" ca="1" si="276"/>
        <v>-9.7703154057125516</v>
      </c>
      <c r="L625" s="304">
        <f t="shared" ca="1" si="261"/>
        <v>745.93473176810892</v>
      </c>
      <c r="M625" s="306">
        <f t="shared" ca="1" si="277"/>
        <v>-1.5118504292890829</v>
      </c>
      <c r="N625" s="304">
        <f t="shared" ca="1" si="278"/>
        <v>-86.622648853306146</v>
      </c>
      <c r="P625" s="310">
        <f t="shared" ca="1" si="279"/>
        <v>23</v>
      </c>
      <c r="Q625" s="304">
        <f t="shared" ca="1" si="280"/>
        <v>0</v>
      </c>
      <c r="R625" s="306">
        <f t="shared" ca="1" si="281"/>
        <v>0</v>
      </c>
      <c r="S625" s="307">
        <f t="shared" ca="1" si="282"/>
        <v>2.9792999999999985</v>
      </c>
      <c r="T625" s="304">
        <f t="shared" ca="1" si="262"/>
        <v>29.226932999999988</v>
      </c>
      <c r="U625" s="311">
        <f t="shared" ca="1" si="263"/>
        <v>0</v>
      </c>
      <c r="V625" s="306">
        <f t="shared" ca="1" si="264"/>
        <v>1.2261974486097298</v>
      </c>
      <c r="W625" s="304">
        <f t="shared" ca="1" si="265"/>
        <v>27.766675875753847</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0.47311408241536768</v>
      </c>
      <c r="AH625" s="304">
        <f t="shared" ca="1" si="289"/>
        <v>-9.3198475288509766</v>
      </c>
    </row>
    <row r="626" spans="1:34" x14ac:dyDescent="0.2">
      <c r="A626" s="347">
        <f t="shared" ca="1" si="267"/>
        <v>1E-4</v>
      </c>
      <c r="B626" s="304">
        <f t="shared" ca="1" si="268"/>
        <v>36.810600000000562</v>
      </c>
      <c r="D626" s="306">
        <f t="shared" ca="1" si="269"/>
        <v>-0.54904976285697626</v>
      </c>
      <c r="E626" s="307">
        <f t="shared" ca="1" si="270"/>
        <v>-0.50632110413762099</v>
      </c>
      <c r="F626" s="304">
        <f t="shared" ca="1" si="271"/>
        <v>0.74687127578214008</v>
      </c>
      <c r="G626" s="306">
        <f t="shared" ca="1" si="272"/>
        <v>6.195031396729501</v>
      </c>
      <c r="H626" s="307">
        <f t="shared" ca="1" si="273"/>
        <v>-104.97613400807265</v>
      </c>
      <c r="I626" s="304">
        <f t="shared" ca="1" si="274"/>
        <v>105.15877103355331</v>
      </c>
      <c r="J626" s="306">
        <f t="shared" ca="1" si="275"/>
        <v>745.87074281998321</v>
      </c>
      <c r="K626" s="307">
        <f t="shared" ca="1" si="276"/>
        <v>-9.7808130165817531</v>
      </c>
      <c r="L626" s="304">
        <f t="shared" ca="1" si="261"/>
        <v>745.93486934054692</v>
      </c>
      <c r="M626" s="306">
        <f t="shared" ca="1" si="277"/>
        <v>-1.5118509788622998</v>
      </c>
      <c r="N626" s="304">
        <f t="shared" ca="1" si="278"/>
        <v>-86.622680341532018</v>
      </c>
      <c r="P626" s="310">
        <f t="shared" ca="1" si="279"/>
        <v>23</v>
      </c>
      <c r="Q626" s="304">
        <f t="shared" ca="1" si="280"/>
        <v>0</v>
      </c>
      <c r="R626" s="306">
        <f t="shared" ca="1" si="281"/>
        <v>0</v>
      </c>
      <c r="S626" s="307">
        <f t="shared" ca="1" si="282"/>
        <v>2.9792999999999985</v>
      </c>
      <c r="T626" s="304">
        <f t="shared" ca="1" si="262"/>
        <v>29.226932999999988</v>
      </c>
      <c r="U626" s="311">
        <f t="shared" ca="1" si="263"/>
        <v>0</v>
      </c>
      <c r="V626" s="306">
        <f t="shared" ca="1" si="264"/>
        <v>1.2261987358250797</v>
      </c>
      <c r="W626" s="304">
        <f t="shared" ca="1" si="265"/>
        <v>27.766730007967617</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0.47309623031128822</v>
      </c>
      <c r="AH626" s="304">
        <f t="shared" ca="1" si="289"/>
        <v>-9.3198656985714301</v>
      </c>
    </row>
    <row r="627" spans="1:34" x14ac:dyDescent="0.2">
      <c r="A627" s="347">
        <f t="shared" ca="1" si="267"/>
        <v>1E-4</v>
      </c>
      <c r="B627" s="304">
        <f t="shared" ca="1" si="268"/>
        <v>36.810700000000566</v>
      </c>
      <c r="D627" s="306">
        <f t="shared" ca="1" si="269"/>
        <v>-0.54904572018803655</v>
      </c>
      <c r="E627" s="307">
        <f t="shared" ca="1" si="270"/>
        <v>-0.50630266451179828</v>
      </c>
      <c r="F627" s="304">
        <f t="shared" ca="1" si="271"/>
        <v>0.74685580331717738</v>
      </c>
      <c r="G627" s="306">
        <f t="shared" ca="1" si="272"/>
        <v>6.1949764921574824</v>
      </c>
      <c r="H627" s="307">
        <f t="shared" ca="1" si="273"/>
        <v>-104.97618463833911</v>
      </c>
      <c r="I627" s="304">
        <f t="shared" ca="1" si="274"/>
        <v>105.15881834140704</v>
      </c>
      <c r="J627" s="306">
        <f t="shared" ca="1" si="275"/>
        <v>745.87074281998321</v>
      </c>
      <c r="K627" s="307">
        <f t="shared" ca="1" si="276"/>
        <v>-9.7913106325140742</v>
      </c>
      <c r="L627" s="304">
        <f t="shared" ca="1" si="261"/>
        <v>745.93500706075986</v>
      </c>
      <c r="M627" s="306">
        <f t="shared" ca="1" si="277"/>
        <v>-1.5118515284301517</v>
      </c>
      <c r="N627" s="304">
        <f t="shared" ca="1" si="278"/>
        <v>-86.622711829450481</v>
      </c>
      <c r="P627" s="310">
        <f t="shared" ca="1" si="279"/>
        <v>23</v>
      </c>
      <c r="Q627" s="304">
        <f t="shared" ca="1" si="280"/>
        <v>0</v>
      </c>
      <c r="R627" s="306">
        <f t="shared" ca="1" si="281"/>
        <v>0</v>
      </c>
      <c r="S627" s="307">
        <f t="shared" ca="1" si="282"/>
        <v>2.9792999999999985</v>
      </c>
      <c r="T627" s="304">
        <f t="shared" ca="1" si="262"/>
        <v>29.226932999999988</v>
      </c>
      <c r="U627" s="311">
        <f t="shared" ca="1" si="263"/>
        <v>0</v>
      </c>
      <c r="V627" s="306">
        <f t="shared" ca="1" si="264"/>
        <v>1.2262000230424017</v>
      </c>
      <c r="W627" s="304">
        <f t="shared" ca="1" si="265"/>
        <v>27.766784139347003</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0.47307837848120826</v>
      </c>
      <c r="AH627" s="304">
        <f t="shared" ca="1" si="289"/>
        <v>-9.319883868011825</v>
      </c>
    </row>
    <row r="628" spans="1:34" x14ac:dyDescent="0.2">
      <c r="A628" s="347">
        <f t="shared" ca="1" si="267"/>
        <v>1E-4</v>
      </c>
      <c r="B628" s="304">
        <f t="shared" ca="1" si="268"/>
        <v>36.810800000000569</v>
      </c>
      <c r="D628" s="306">
        <f t="shared" ca="1" si="269"/>
        <v>-0.54904167753241118</v>
      </c>
      <c r="E628" s="307">
        <f t="shared" ca="1" si="270"/>
        <v>-0.5062842251701305</v>
      </c>
      <c r="F628" s="304">
        <f t="shared" ca="1" si="271"/>
        <v>0.74684033121124593</v>
      </c>
      <c r="G628" s="306">
        <f t="shared" ca="1" si="272"/>
        <v>6.1949215879897288</v>
      </c>
      <c r="H628" s="307">
        <f t="shared" ca="1" si="273"/>
        <v>-104.97623526676162</v>
      </c>
      <c r="I628" s="304">
        <f t="shared" ca="1" si="274"/>
        <v>105.15886564747562</v>
      </c>
      <c r="J628" s="306">
        <f t="shared" ca="1" si="275"/>
        <v>745.87074281998321</v>
      </c>
      <c r="K628" s="307">
        <f t="shared" ca="1" si="276"/>
        <v>-9.8018082535093285</v>
      </c>
      <c r="L628" s="304">
        <f t="shared" ca="1" si="261"/>
        <v>745.93514492874795</v>
      </c>
      <c r="M628" s="306">
        <f t="shared" ca="1" si="277"/>
        <v>-1.5118520779926385</v>
      </c>
      <c r="N628" s="304">
        <f t="shared" ca="1" si="278"/>
        <v>-86.622743317061563</v>
      </c>
      <c r="P628" s="310">
        <f t="shared" ca="1" si="279"/>
        <v>23</v>
      </c>
      <c r="Q628" s="304">
        <f t="shared" ca="1" si="280"/>
        <v>0</v>
      </c>
      <c r="R628" s="306">
        <f t="shared" ca="1" si="281"/>
        <v>0</v>
      </c>
      <c r="S628" s="307">
        <f t="shared" ca="1" si="282"/>
        <v>2.9792999999999985</v>
      </c>
      <c r="T628" s="304">
        <f t="shared" ca="1" si="262"/>
        <v>29.226932999999988</v>
      </c>
      <c r="U628" s="311">
        <f t="shared" ca="1" si="263"/>
        <v>0</v>
      </c>
      <c r="V628" s="306">
        <f t="shared" ca="1" si="264"/>
        <v>1.2262013102616969</v>
      </c>
      <c r="W628" s="304">
        <f t="shared" ca="1" si="265"/>
        <v>27.766838269892023</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0.47306052692513134</v>
      </c>
      <c r="AH628" s="304">
        <f t="shared" ca="1" si="289"/>
        <v>-9.3199020371721595</v>
      </c>
    </row>
    <row r="629" spans="1:34" x14ac:dyDescent="0.2">
      <c r="A629" s="347">
        <f t="shared" ca="1" si="267"/>
        <v>1E-4</v>
      </c>
      <c r="B629" s="304">
        <f t="shared" ca="1" si="268"/>
        <v>36.810900000000572</v>
      </c>
      <c r="D629" s="306">
        <f t="shared" ca="1" si="269"/>
        <v>-0.54903763489010116</v>
      </c>
      <c r="E629" s="307">
        <f t="shared" ca="1" si="270"/>
        <v>-0.50626578611260875</v>
      </c>
      <c r="F629" s="304">
        <f t="shared" ca="1" si="271"/>
        <v>0.74682485946434174</v>
      </c>
      <c r="G629" s="306">
        <f t="shared" ca="1" si="272"/>
        <v>6.1948666842262394</v>
      </c>
      <c r="H629" s="307">
        <f t="shared" ca="1" si="273"/>
        <v>-104.97628589334023</v>
      </c>
      <c r="I629" s="304">
        <f t="shared" ca="1" si="274"/>
        <v>105.15891295175906</v>
      </c>
      <c r="J629" s="306">
        <f t="shared" ca="1" si="275"/>
        <v>745.87074281998321</v>
      </c>
      <c r="K629" s="307">
        <f t="shared" ca="1" si="276"/>
        <v>-9.812305879567333</v>
      </c>
      <c r="L629" s="304">
        <f t="shared" ca="1" si="261"/>
        <v>745.93528294451107</v>
      </c>
      <c r="M629" s="306">
        <f t="shared" ca="1" si="277"/>
        <v>-1.5118526275497604</v>
      </c>
      <c r="N629" s="304">
        <f t="shared" ca="1" si="278"/>
        <v>-86.622774804365235</v>
      </c>
      <c r="P629" s="310">
        <f t="shared" ca="1" si="279"/>
        <v>23</v>
      </c>
      <c r="Q629" s="304">
        <f t="shared" ca="1" si="280"/>
        <v>0</v>
      </c>
      <c r="R629" s="306">
        <f t="shared" ca="1" si="281"/>
        <v>0</v>
      </c>
      <c r="S629" s="307">
        <f t="shared" ca="1" si="282"/>
        <v>2.9792999999999985</v>
      </c>
      <c r="T629" s="304">
        <f t="shared" ca="1" si="262"/>
        <v>29.226932999999988</v>
      </c>
      <c r="U629" s="311">
        <f t="shared" ca="1" si="263"/>
        <v>0</v>
      </c>
      <c r="V629" s="306">
        <f t="shared" ca="1" si="264"/>
        <v>1.2262025974829649</v>
      </c>
      <c r="W629" s="304">
        <f t="shared" ca="1" si="265"/>
        <v>27.766892399602703</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0.47304267564304858</v>
      </c>
      <c r="AH629" s="304">
        <f t="shared" ca="1" si="289"/>
        <v>-9.3199202060524406</v>
      </c>
    </row>
    <row r="630" spans="1:34" x14ac:dyDescent="0.2">
      <c r="A630" s="347">
        <f t="shared" ca="1" si="267"/>
        <v>1E-4</v>
      </c>
      <c r="B630" s="304">
        <f t="shared" ca="1" si="268"/>
        <v>36.811000000000575</v>
      </c>
      <c r="D630" s="306">
        <f t="shared" ca="1" si="269"/>
        <v>-0.54903359226110782</v>
      </c>
      <c r="E630" s="307">
        <f t="shared" ca="1" si="270"/>
        <v>-0.50624734733922416</v>
      </c>
      <c r="F630" s="304">
        <f t="shared" ca="1" si="271"/>
        <v>0.74680938807646047</v>
      </c>
      <c r="G630" s="306">
        <f t="shared" ca="1" si="272"/>
        <v>6.1948117808670133</v>
      </c>
      <c r="H630" s="307">
        <f t="shared" ca="1" si="273"/>
        <v>-104.97633651807497</v>
      </c>
      <c r="I630" s="304">
        <f t="shared" ca="1" si="274"/>
        <v>105.15896025425741</v>
      </c>
      <c r="J630" s="306">
        <f t="shared" ca="1" si="275"/>
        <v>745.87074281998321</v>
      </c>
      <c r="K630" s="307">
        <f t="shared" ca="1" si="276"/>
        <v>-9.822803510687903</v>
      </c>
      <c r="L630" s="304">
        <f t="shared" ca="1" si="261"/>
        <v>745.93542110804947</v>
      </c>
      <c r="M630" s="306">
        <f t="shared" ca="1" si="277"/>
        <v>-1.5118531771015171</v>
      </c>
      <c r="N630" s="304">
        <f t="shared" ca="1" si="278"/>
        <v>-86.622806291361528</v>
      </c>
      <c r="P630" s="310">
        <f t="shared" ca="1" si="279"/>
        <v>23</v>
      </c>
      <c r="Q630" s="304">
        <f t="shared" ca="1" si="280"/>
        <v>0</v>
      </c>
      <c r="R630" s="306">
        <f t="shared" ca="1" si="281"/>
        <v>0</v>
      </c>
      <c r="S630" s="307">
        <f t="shared" ca="1" si="282"/>
        <v>2.9792999999999985</v>
      </c>
      <c r="T630" s="304">
        <f t="shared" ca="1" si="262"/>
        <v>29.226932999999988</v>
      </c>
      <c r="U630" s="311">
        <f t="shared" ca="1" si="263"/>
        <v>0</v>
      </c>
      <c r="V630" s="306">
        <f t="shared" ca="1" si="264"/>
        <v>1.2262038847062053</v>
      </c>
      <c r="W630" s="304">
        <f t="shared" ca="1" si="265"/>
        <v>27.766946528479025</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0.47302482463495465</v>
      </c>
      <c r="AH630" s="304">
        <f t="shared" ca="1" si="289"/>
        <v>-9.3199383746526756</v>
      </c>
    </row>
    <row r="631" spans="1:34" x14ac:dyDescent="0.2">
      <c r="A631" s="347">
        <f t="shared" ca="1" si="267"/>
        <v>1E-4</v>
      </c>
      <c r="B631" s="304">
        <f t="shared" ca="1" si="268"/>
        <v>36.811100000000579</v>
      </c>
      <c r="D631" s="306">
        <f t="shared" ca="1" si="269"/>
        <v>-0.54902954964543149</v>
      </c>
      <c r="E631" s="307">
        <f t="shared" ca="1" si="270"/>
        <v>-0.50622890884998561</v>
      </c>
      <c r="F631" s="304">
        <f t="shared" ca="1" si="271"/>
        <v>0.74679391704760978</v>
      </c>
      <c r="G631" s="306">
        <f t="shared" ca="1" si="272"/>
        <v>6.1947568779120488</v>
      </c>
      <c r="H631" s="307">
        <f t="shared" ca="1" si="273"/>
        <v>-104.97638714096585</v>
      </c>
      <c r="I631" s="304">
        <f t="shared" ca="1" si="274"/>
        <v>105.15900755497067</v>
      </c>
      <c r="J631" s="306">
        <f t="shared" ca="1" si="275"/>
        <v>745.87074281998321</v>
      </c>
      <c r="K631" s="307">
        <f t="shared" ca="1" si="276"/>
        <v>-9.8333011468708555</v>
      </c>
      <c r="L631" s="304">
        <f t="shared" ca="1" si="261"/>
        <v>745.93555941936336</v>
      </c>
      <c r="M631" s="306">
        <f t="shared" ca="1" si="277"/>
        <v>-1.5118537266479088</v>
      </c>
      <c r="N631" s="304">
        <f t="shared" ca="1" si="278"/>
        <v>-86.622837778050425</v>
      </c>
      <c r="P631" s="310">
        <f t="shared" ca="1" si="279"/>
        <v>23</v>
      </c>
      <c r="Q631" s="304">
        <f t="shared" ca="1" si="280"/>
        <v>0</v>
      </c>
      <c r="R631" s="306">
        <f t="shared" ca="1" si="281"/>
        <v>0</v>
      </c>
      <c r="S631" s="307">
        <f t="shared" ca="1" si="282"/>
        <v>2.9792999999999985</v>
      </c>
      <c r="T631" s="304">
        <f t="shared" ca="1" si="262"/>
        <v>29.226932999999988</v>
      </c>
      <c r="U631" s="311">
        <f t="shared" ca="1" si="263"/>
        <v>0</v>
      </c>
      <c r="V631" s="306">
        <f t="shared" ca="1" si="264"/>
        <v>1.2262051719314186</v>
      </c>
      <c r="W631" s="304">
        <f t="shared" ca="1" si="265"/>
        <v>27.767000656521009</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0.47300697390085311</v>
      </c>
      <c r="AH631" s="304">
        <f t="shared" ca="1" si="289"/>
        <v>-9.319956542972859</v>
      </c>
    </row>
    <row r="632" spans="1:34" x14ac:dyDescent="0.2">
      <c r="A632" s="347">
        <f t="shared" ca="1" si="267"/>
        <v>1E-4</v>
      </c>
      <c r="B632" s="304">
        <f t="shared" ca="1" si="268"/>
        <v>36.811200000000582</v>
      </c>
      <c r="D632" s="306">
        <f t="shared" ca="1" si="269"/>
        <v>-0.5490255070430734</v>
      </c>
      <c r="E632" s="307">
        <f t="shared" ca="1" si="270"/>
        <v>-0.50621047064488245</v>
      </c>
      <c r="F632" s="304">
        <f t="shared" ca="1" si="271"/>
        <v>0.74677844637778423</v>
      </c>
      <c r="G632" s="306">
        <f t="shared" ca="1" si="272"/>
        <v>6.1947019753613448</v>
      </c>
      <c r="H632" s="307">
        <f t="shared" ca="1" si="273"/>
        <v>-104.97643776201292</v>
      </c>
      <c r="I632" s="304">
        <f t="shared" ca="1" si="274"/>
        <v>105.15905485389889</v>
      </c>
      <c r="J632" s="306">
        <f t="shared" ca="1" si="275"/>
        <v>745.87074281998321</v>
      </c>
      <c r="K632" s="307">
        <f t="shared" ca="1" si="276"/>
        <v>-9.8437987881160041</v>
      </c>
      <c r="L632" s="304">
        <f t="shared" ca="1" si="261"/>
        <v>745.93569787845274</v>
      </c>
      <c r="M632" s="306">
        <f t="shared" ca="1" si="277"/>
        <v>-1.511854276188936</v>
      </c>
      <c r="N632" s="304">
        <f t="shared" ca="1" si="278"/>
        <v>-86.622869264431941</v>
      </c>
      <c r="P632" s="310">
        <f t="shared" ca="1" si="279"/>
        <v>23</v>
      </c>
      <c r="Q632" s="304">
        <f t="shared" ca="1" si="280"/>
        <v>0</v>
      </c>
      <c r="R632" s="306">
        <f t="shared" ca="1" si="281"/>
        <v>0</v>
      </c>
      <c r="S632" s="307">
        <f t="shared" ca="1" si="282"/>
        <v>2.9792999999999985</v>
      </c>
      <c r="T632" s="304">
        <f t="shared" ca="1" si="262"/>
        <v>29.226932999999988</v>
      </c>
      <c r="U632" s="311">
        <f t="shared" ca="1" si="263"/>
        <v>0</v>
      </c>
      <c r="V632" s="306">
        <f t="shared" ca="1" si="264"/>
        <v>1.2262064591586044</v>
      </c>
      <c r="W632" s="304">
        <f t="shared" ca="1" si="265"/>
        <v>27.767054783728668</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0.47298912344073862</v>
      </c>
      <c r="AH632" s="304">
        <f t="shared" ca="1" si="289"/>
        <v>-9.319974711012998</v>
      </c>
    </row>
    <row r="633" spans="1:34" x14ac:dyDescent="0.2">
      <c r="A633" s="347">
        <f t="shared" ca="1" si="267"/>
        <v>1E-4</v>
      </c>
      <c r="B633" s="304">
        <f t="shared" ca="1" si="268"/>
        <v>36.811300000000585</v>
      </c>
      <c r="D633" s="306">
        <f t="shared" ca="1" si="269"/>
        <v>-0.54902146445403022</v>
      </c>
      <c r="E633" s="307">
        <f t="shared" ca="1" si="270"/>
        <v>-0.50619203272391644</v>
      </c>
      <c r="F633" s="304">
        <f t="shared" ca="1" si="271"/>
        <v>0.74676297606698372</v>
      </c>
      <c r="G633" s="306">
        <f t="shared" ca="1" si="272"/>
        <v>6.1946470732148997</v>
      </c>
      <c r="H633" s="307">
        <f t="shared" ca="1" si="273"/>
        <v>-104.9764883812162</v>
      </c>
      <c r="I633" s="304">
        <f t="shared" ca="1" si="274"/>
        <v>105.15910215104211</v>
      </c>
      <c r="J633" s="306">
        <f t="shared" ca="1" si="275"/>
        <v>745.87074281998321</v>
      </c>
      <c r="K633" s="307">
        <f t="shared" ca="1" si="276"/>
        <v>-9.8542964344231656</v>
      </c>
      <c r="L633" s="304">
        <f t="shared" ca="1" si="261"/>
        <v>745.93583648531796</v>
      </c>
      <c r="M633" s="306">
        <f t="shared" ca="1" si="277"/>
        <v>-1.5118548257245981</v>
      </c>
      <c r="N633" s="304">
        <f t="shared" ca="1" si="278"/>
        <v>-86.622900750506076</v>
      </c>
      <c r="P633" s="310">
        <f t="shared" ca="1" si="279"/>
        <v>23</v>
      </c>
      <c r="Q633" s="304">
        <f t="shared" ca="1" si="280"/>
        <v>0</v>
      </c>
      <c r="R633" s="306">
        <f t="shared" ca="1" si="281"/>
        <v>0</v>
      </c>
      <c r="S633" s="307">
        <f t="shared" ca="1" si="282"/>
        <v>2.9792999999999985</v>
      </c>
      <c r="T633" s="304">
        <f t="shared" ca="1" si="262"/>
        <v>29.226932999999988</v>
      </c>
      <c r="U633" s="311">
        <f t="shared" ca="1" si="263"/>
        <v>0</v>
      </c>
      <c r="V633" s="306">
        <f t="shared" ca="1" si="264"/>
        <v>1.226207746387763</v>
      </c>
      <c r="W633" s="304">
        <f t="shared" ca="1" si="265"/>
        <v>27.767108910102017</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0.47297127325460941</v>
      </c>
      <c r="AH633" s="304">
        <f t="shared" ca="1" si="289"/>
        <v>-9.3199928787730943</v>
      </c>
    </row>
    <row r="634" spans="1:34" x14ac:dyDescent="0.2">
      <c r="A634" s="347">
        <f t="shared" ca="1" si="267"/>
        <v>1E-4</v>
      </c>
      <c r="B634" s="304">
        <f t="shared" ca="1" si="268"/>
        <v>36.811400000000589</v>
      </c>
      <c r="D634" s="306">
        <f t="shared" ca="1" si="269"/>
        <v>-0.54901742187830749</v>
      </c>
      <c r="E634" s="307">
        <f t="shared" ca="1" si="270"/>
        <v>-0.50617359508707516</v>
      </c>
      <c r="F634" s="304">
        <f t="shared" ca="1" si="271"/>
        <v>0.74674750611520468</v>
      </c>
      <c r="G634" s="306">
        <f t="shared" ca="1" si="272"/>
        <v>6.1945921714727117</v>
      </c>
      <c r="H634" s="307">
        <f t="shared" ca="1" si="273"/>
        <v>-104.97653899857571</v>
      </c>
      <c r="I634" s="304">
        <f t="shared" ca="1" si="274"/>
        <v>105.15914944640032</v>
      </c>
      <c r="J634" s="306">
        <f t="shared" ca="1" si="275"/>
        <v>745.87074281998321</v>
      </c>
      <c r="K634" s="307">
        <f t="shared" ca="1" si="276"/>
        <v>-9.8647940857921554</v>
      </c>
      <c r="L634" s="304">
        <f t="shared" ca="1" si="261"/>
        <v>745.93597523995891</v>
      </c>
      <c r="M634" s="306">
        <f t="shared" ca="1" si="277"/>
        <v>-1.5118553752548956</v>
      </c>
      <c r="N634" s="304">
        <f t="shared" ca="1" si="278"/>
        <v>-86.622932236272831</v>
      </c>
      <c r="P634" s="310">
        <f t="shared" ca="1" si="279"/>
        <v>23</v>
      </c>
      <c r="Q634" s="304">
        <f t="shared" ca="1" si="280"/>
        <v>0</v>
      </c>
      <c r="R634" s="306">
        <f t="shared" ca="1" si="281"/>
        <v>0</v>
      </c>
      <c r="S634" s="307">
        <f t="shared" ca="1" si="282"/>
        <v>2.9792999999999985</v>
      </c>
      <c r="T634" s="304">
        <f t="shared" ca="1" si="262"/>
        <v>29.226932999999988</v>
      </c>
      <c r="U634" s="311">
        <f t="shared" ca="1" si="263"/>
        <v>0</v>
      </c>
      <c r="V634" s="306">
        <f t="shared" ca="1" si="264"/>
        <v>1.2262090336188942</v>
      </c>
      <c r="W634" s="304">
        <f t="shared" ca="1" si="265"/>
        <v>27.767163035641065</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0.4729534233424566</v>
      </c>
      <c r="AH634" s="304">
        <f t="shared" ca="1" si="289"/>
        <v>-9.3200110462531569</v>
      </c>
    </row>
    <row r="635" spans="1:34" x14ac:dyDescent="0.2">
      <c r="A635" s="347">
        <f t="shared" ca="1" si="267"/>
        <v>1E-4</v>
      </c>
      <c r="B635" s="304">
        <f t="shared" ca="1" si="268"/>
        <v>36.811500000000592</v>
      </c>
      <c r="D635" s="306">
        <f t="shared" ca="1" si="269"/>
        <v>-0.54901337931590188</v>
      </c>
      <c r="E635" s="307">
        <f t="shared" ca="1" si="270"/>
        <v>-0.5061551577343586</v>
      </c>
      <c r="F635" s="304">
        <f t="shared" ca="1" si="271"/>
        <v>0.74673203652244613</v>
      </c>
      <c r="G635" s="306">
        <f t="shared" ca="1" si="272"/>
        <v>6.1945372701347798</v>
      </c>
      <c r="H635" s="307">
        <f t="shared" ca="1" si="273"/>
        <v>-104.97658961409148</v>
      </c>
      <c r="I635" s="304">
        <f t="shared" ca="1" si="274"/>
        <v>105.15919673997358</v>
      </c>
      <c r="J635" s="306">
        <f t="shared" ca="1" si="275"/>
        <v>745.87074281998321</v>
      </c>
      <c r="K635" s="307">
        <f t="shared" ca="1" si="276"/>
        <v>-9.8752917422227888</v>
      </c>
      <c r="L635" s="304">
        <f t="shared" ca="1" si="261"/>
        <v>745.9361141423758</v>
      </c>
      <c r="M635" s="306">
        <f t="shared" ca="1" si="277"/>
        <v>-1.5118559247798284</v>
      </c>
      <c r="N635" s="304">
        <f t="shared" ca="1" si="278"/>
        <v>-86.622963721732219</v>
      </c>
      <c r="P635" s="310">
        <f t="shared" ca="1" si="279"/>
        <v>23</v>
      </c>
      <c r="Q635" s="304">
        <f t="shared" ca="1" si="280"/>
        <v>0</v>
      </c>
      <c r="R635" s="306">
        <f t="shared" ca="1" si="281"/>
        <v>0</v>
      </c>
      <c r="S635" s="307">
        <f t="shared" ca="1" si="282"/>
        <v>2.9792999999999985</v>
      </c>
      <c r="T635" s="304">
        <f t="shared" ca="1" si="262"/>
        <v>29.226932999999988</v>
      </c>
      <c r="U635" s="311">
        <f t="shared" ca="1" si="263"/>
        <v>0</v>
      </c>
      <c r="V635" s="306">
        <f t="shared" ca="1" si="264"/>
        <v>1.2262103208519983</v>
      </c>
      <c r="W635" s="304">
        <f t="shared" ca="1" si="265"/>
        <v>27.767217160345826</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0.47293557370427663</v>
      </c>
      <c r="AH635" s="304">
        <f t="shared" ca="1" si="289"/>
        <v>-9.3200292134531875</v>
      </c>
    </row>
    <row r="636" spans="1:34" x14ac:dyDescent="0.2">
      <c r="A636" s="347">
        <f t="shared" ca="1" si="267"/>
        <v>1E-4</v>
      </c>
      <c r="B636" s="304">
        <f t="shared" ca="1" si="268"/>
        <v>36.811600000000595</v>
      </c>
      <c r="D636" s="306">
        <f t="shared" ca="1" si="269"/>
        <v>-0.54900933676681407</v>
      </c>
      <c r="E636" s="307">
        <f t="shared" ca="1" si="270"/>
        <v>-0.50613672066576498</v>
      </c>
      <c r="F636" s="304">
        <f t="shared" ca="1" si="271"/>
        <v>0.74671656728870806</v>
      </c>
      <c r="G636" s="306">
        <f t="shared" ca="1" si="272"/>
        <v>6.1944823692011033</v>
      </c>
      <c r="H636" s="307">
        <f t="shared" ca="1" si="273"/>
        <v>-104.97664022776355</v>
      </c>
      <c r="I636" s="304">
        <f t="shared" ca="1" si="274"/>
        <v>105.15924403176189</v>
      </c>
      <c r="J636" s="306">
        <f t="shared" ca="1" si="275"/>
        <v>745.87074281998321</v>
      </c>
      <c r="K636" s="307">
        <f t="shared" ca="1" si="276"/>
        <v>-9.885789403714881</v>
      </c>
      <c r="L636" s="304">
        <f t="shared" ca="1" si="261"/>
        <v>745.93625319256887</v>
      </c>
      <c r="M636" s="306">
        <f t="shared" ca="1" si="277"/>
        <v>-1.5118564742993967</v>
      </c>
      <c r="N636" s="304">
        <f t="shared" ca="1" si="278"/>
        <v>-86.622995206884241</v>
      </c>
      <c r="P636" s="310">
        <f t="shared" ca="1" si="279"/>
        <v>23</v>
      </c>
      <c r="Q636" s="304">
        <f t="shared" ca="1" si="280"/>
        <v>0</v>
      </c>
      <c r="R636" s="306">
        <f t="shared" ca="1" si="281"/>
        <v>0</v>
      </c>
      <c r="S636" s="307">
        <f t="shared" ca="1" si="282"/>
        <v>2.9792999999999985</v>
      </c>
      <c r="T636" s="304">
        <f t="shared" ca="1" si="262"/>
        <v>29.226932999999988</v>
      </c>
      <c r="U636" s="311">
        <f t="shared" ca="1" si="263"/>
        <v>0</v>
      </c>
      <c r="V636" s="306">
        <f t="shared" ca="1" si="264"/>
        <v>1.2262116080870744</v>
      </c>
      <c r="W636" s="304">
        <f t="shared" ca="1" si="265"/>
        <v>27.767271284216275</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0.47291772434007129</v>
      </c>
      <c r="AH636" s="304">
        <f t="shared" ca="1" si="289"/>
        <v>-9.3200473803731878</v>
      </c>
    </row>
    <row r="637" spans="1:34" x14ac:dyDescent="0.2">
      <c r="A637" s="347">
        <f t="shared" ca="1" si="267"/>
        <v>1E-4</v>
      </c>
      <c r="B637" s="304">
        <f t="shared" ca="1" si="268"/>
        <v>36.811700000000599</v>
      </c>
      <c r="D637" s="306">
        <f t="shared" ca="1" si="269"/>
        <v>-0.54900529423104494</v>
      </c>
      <c r="E637" s="307">
        <f t="shared" ca="1" si="270"/>
        <v>-0.50611828388129787</v>
      </c>
      <c r="F637" s="304">
        <f t="shared" ca="1" si="271"/>
        <v>0.74670109841399468</v>
      </c>
      <c r="G637" s="306">
        <f t="shared" ca="1" si="272"/>
        <v>6.1944274686716803</v>
      </c>
      <c r="H637" s="307">
        <f t="shared" ca="1" si="273"/>
        <v>-104.97669083959194</v>
      </c>
      <c r="I637" s="304">
        <f t="shared" ca="1" si="274"/>
        <v>105.15929132176529</v>
      </c>
      <c r="J637" s="306">
        <f t="shared" ca="1" si="275"/>
        <v>745.87074281998321</v>
      </c>
      <c r="K637" s="307">
        <f t="shared" ca="1" si="276"/>
        <v>-9.8962870702682491</v>
      </c>
      <c r="L637" s="304">
        <f t="shared" ca="1" si="261"/>
        <v>745.936392390538</v>
      </c>
      <c r="M637" s="306">
        <f t="shared" ca="1" si="277"/>
        <v>-1.5118570238136007</v>
      </c>
      <c r="N637" s="304">
        <f t="shared" ca="1" si="278"/>
        <v>-86.62302669172891</v>
      </c>
      <c r="P637" s="310">
        <f t="shared" ca="1" si="279"/>
        <v>23</v>
      </c>
      <c r="Q637" s="304">
        <f t="shared" ca="1" si="280"/>
        <v>0</v>
      </c>
      <c r="R637" s="306">
        <f t="shared" ca="1" si="281"/>
        <v>0</v>
      </c>
      <c r="S637" s="307">
        <f t="shared" ca="1" si="282"/>
        <v>2.9792999999999985</v>
      </c>
      <c r="T637" s="304">
        <f t="shared" ca="1" si="262"/>
        <v>29.226932999999988</v>
      </c>
      <c r="U637" s="311">
        <f t="shared" ca="1" si="263"/>
        <v>0</v>
      </c>
      <c r="V637" s="306">
        <f t="shared" ca="1" si="264"/>
        <v>1.2262128953241236</v>
      </c>
      <c r="W637" s="304">
        <f t="shared" ca="1" si="265"/>
        <v>27.767325407252468</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0.47289987524984234</v>
      </c>
      <c r="AH637" s="304">
        <f t="shared" ca="1" si="289"/>
        <v>-9.3200655470131544</v>
      </c>
    </row>
    <row r="638" spans="1:34" x14ac:dyDescent="0.2">
      <c r="A638" s="347">
        <f t="shared" ca="1" si="267"/>
        <v>1E-4</v>
      </c>
      <c r="B638" s="304">
        <f t="shared" ca="1" si="268"/>
        <v>36.811800000000602</v>
      </c>
      <c r="D638" s="306">
        <f t="shared" ca="1" si="269"/>
        <v>-0.54900125170859382</v>
      </c>
      <c r="E638" s="307">
        <f t="shared" ca="1" si="270"/>
        <v>-0.50609984738094305</v>
      </c>
      <c r="F638" s="304">
        <f t="shared" ca="1" si="271"/>
        <v>0.74668562989829701</v>
      </c>
      <c r="G638" s="306">
        <f t="shared" ca="1" si="272"/>
        <v>6.194372568546509</v>
      </c>
      <c r="H638" s="307">
        <f t="shared" ca="1" si="273"/>
        <v>-104.97674144957668</v>
      </c>
      <c r="I638" s="304">
        <f t="shared" ca="1" si="274"/>
        <v>105.15933860998381</v>
      </c>
      <c r="J638" s="306">
        <f t="shared" ca="1" si="275"/>
        <v>745.87074281998321</v>
      </c>
      <c r="K638" s="307">
        <f t="shared" ca="1" si="276"/>
        <v>-9.9067847418827082</v>
      </c>
      <c r="L638" s="304">
        <f t="shared" ca="1" si="261"/>
        <v>745.93653173628354</v>
      </c>
      <c r="M638" s="306">
        <f t="shared" ca="1" si="277"/>
        <v>-1.51185757332244</v>
      </c>
      <c r="N638" s="304">
        <f t="shared" ca="1" si="278"/>
        <v>-86.623058176266213</v>
      </c>
      <c r="P638" s="310">
        <f t="shared" ca="1" si="279"/>
        <v>23</v>
      </c>
      <c r="Q638" s="304">
        <f t="shared" ca="1" si="280"/>
        <v>0</v>
      </c>
      <c r="R638" s="306">
        <f t="shared" ca="1" si="281"/>
        <v>0</v>
      </c>
      <c r="S638" s="307">
        <f t="shared" ca="1" si="282"/>
        <v>2.9792999999999985</v>
      </c>
      <c r="T638" s="304">
        <f t="shared" ca="1" si="262"/>
        <v>29.226932999999988</v>
      </c>
      <c r="U638" s="311">
        <f t="shared" ca="1" si="263"/>
        <v>0</v>
      </c>
      <c r="V638" s="306">
        <f t="shared" ca="1" si="264"/>
        <v>1.226214182563145</v>
      </c>
      <c r="W638" s="304">
        <f t="shared" ca="1" si="265"/>
        <v>27.767379529454377</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0.47288202643357558</v>
      </c>
      <c r="AH638" s="304">
        <f t="shared" ca="1" si="289"/>
        <v>-9.3200837133731014</v>
      </c>
    </row>
    <row r="639" spans="1:34" x14ac:dyDescent="0.2">
      <c r="A639" s="347">
        <f t="shared" ca="1" si="267"/>
        <v>1E-4</v>
      </c>
      <c r="B639" s="304">
        <f t="shared" ca="1" si="268"/>
        <v>36.811900000000605</v>
      </c>
      <c r="D639" s="306">
        <f t="shared" ca="1" si="269"/>
        <v>-0.54899720919946327</v>
      </c>
      <c r="E639" s="307">
        <f t="shared" ca="1" si="270"/>
        <v>-0.50608141116470406</v>
      </c>
      <c r="F639" s="304">
        <f t="shared" ca="1" si="271"/>
        <v>0.74667016174162038</v>
      </c>
      <c r="G639" s="306">
        <f t="shared" ca="1" si="272"/>
        <v>6.1943176688255894</v>
      </c>
      <c r="H639" s="307">
        <f t="shared" ca="1" si="273"/>
        <v>-104.9767920577178</v>
      </c>
      <c r="I639" s="304">
        <f t="shared" ca="1" si="274"/>
        <v>105.15938589641749</v>
      </c>
      <c r="J639" s="306">
        <f t="shared" ca="1" si="275"/>
        <v>745.87074281998321</v>
      </c>
      <c r="K639" s="307">
        <f t="shared" ca="1" si="276"/>
        <v>-9.9172824185580737</v>
      </c>
      <c r="L639" s="304">
        <f t="shared" ca="1" si="261"/>
        <v>745.93667122980548</v>
      </c>
      <c r="M639" s="306">
        <f t="shared" ca="1" si="277"/>
        <v>-1.5118581228259147</v>
      </c>
      <c r="N639" s="304">
        <f t="shared" ca="1" si="278"/>
        <v>-86.623089660496134</v>
      </c>
      <c r="P639" s="310">
        <f t="shared" ca="1" si="279"/>
        <v>23</v>
      </c>
      <c r="Q639" s="304">
        <f t="shared" ca="1" si="280"/>
        <v>0</v>
      </c>
      <c r="R639" s="306">
        <f t="shared" ca="1" si="281"/>
        <v>0</v>
      </c>
      <c r="S639" s="307">
        <f t="shared" ca="1" si="282"/>
        <v>2.9792999999999985</v>
      </c>
      <c r="T639" s="304">
        <f t="shared" ca="1" si="262"/>
        <v>29.226932999999988</v>
      </c>
      <c r="U639" s="311">
        <f t="shared" ca="1" si="263"/>
        <v>0</v>
      </c>
      <c r="V639" s="306">
        <f t="shared" ca="1" si="264"/>
        <v>1.2262154698041394</v>
      </c>
      <c r="W639" s="304">
        <f t="shared" ca="1" si="265"/>
        <v>27.76743365082206</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0.47286417789127633</v>
      </c>
      <c r="AH639" s="304">
        <f t="shared" ca="1" si="289"/>
        <v>-9.3201018794530235</v>
      </c>
    </row>
    <row r="640" spans="1:34" x14ac:dyDescent="0.2">
      <c r="A640" s="347">
        <f t="shared" ca="1" si="267"/>
        <v>1E-4</v>
      </c>
      <c r="B640" s="304">
        <f t="shared" ca="1" si="268"/>
        <v>36.812000000000609</v>
      </c>
      <c r="D640" s="306">
        <f t="shared" ca="1" si="269"/>
        <v>-0.54899316670365494</v>
      </c>
      <c r="E640" s="307">
        <f t="shared" ca="1" si="270"/>
        <v>-0.50606297523256671</v>
      </c>
      <c r="F640" s="304">
        <f t="shared" ca="1" si="271"/>
        <v>0.74665469394395723</v>
      </c>
      <c r="G640" s="306">
        <f t="shared" ca="1" si="272"/>
        <v>6.194262769508919</v>
      </c>
      <c r="H640" s="307">
        <f t="shared" ca="1" si="273"/>
        <v>-104.97684266401532</v>
      </c>
      <c r="I640" s="304">
        <f t="shared" ca="1" si="274"/>
        <v>105.1594331810663</v>
      </c>
      <c r="J640" s="306">
        <f t="shared" ca="1" si="275"/>
        <v>745.87074281998321</v>
      </c>
      <c r="K640" s="307">
        <f t="shared" ca="1" si="276"/>
        <v>-9.9277801002941608</v>
      </c>
      <c r="L640" s="304">
        <f t="shared" ca="1" si="261"/>
        <v>745.93681087110406</v>
      </c>
      <c r="M640" s="306">
        <f t="shared" ca="1" si="277"/>
        <v>-1.5118586723240253</v>
      </c>
      <c r="N640" s="304">
        <f t="shared" ca="1" si="278"/>
        <v>-86.623121144418732</v>
      </c>
      <c r="P640" s="310">
        <f t="shared" ca="1" si="279"/>
        <v>23</v>
      </c>
      <c r="Q640" s="304">
        <f t="shared" ca="1" si="280"/>
        <v>0</v>
      </c>
      <c r="R640" s="306">
        <f t="shared" ca="1" si="281"/>
        <v>0</v>
      </c>
      <c r="S640" s="307">
        <f t="shared" ca="1" si="282"/>
        <v>2.9792999999999985</v>
      </c>
      <c r="T640" s="304">
        <f t="shared" ca="1" si="262"/>
        <v>29.226932999999988</v>
      </c>
      <c r="U640" s="311">
        <f t="shared" ca="1" si="263"/>
        <v>0</v>
      </c>
      <c r="V640" s="306">
        <f t="shared" ca="1" si="264"/>
        <v>1.2262167570471061</v>
      </c>
      <c r="W640" s="304">
        <f t="shared" ca="1" si="265"/>
        <v>27.767487771355462</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0.47284632962292861</v>
      </c>
      <c r="AH640" s="304">
        <f t="shared" ca="1" si="289"/>
        <v>-9.3201200452529367</v>
      </c>
    </row>
    <row r="641" spans="1:34" x14ac:dyDescent="0.2">
      <c r="A641" s="347">
        <f t="shared" ca="1" si="267"/>
        <v>1E-4</v>
      </c>
      <c r="B641" s="304">
        <f t="shared" ca="1" si="268"/>
        <v>36.812100000000612</v>
      </c>
      <c r="D641" s="306">
        <f t="shared" ca="1" si="269"/>
        <v>-0.54898912422116464</v>
      </c>
      <c r="E641" s="307">
        <f t="shared" ca="1" si="270"/>
        <v>-0.50604453958454521</v>
      </c>
      <c r="F641" s="304">
        <f t="shared" ca="1" si="271"/>
        <v>0.74663922650531545</v>
      </c>
      <c r="G641" s="306">
        <f t="shared" ca="1" si="272"/>
        <v>6.1942078705964967</v>
      </c>
      <c r="H641" s="307">
        <f t="shared" ca="1" si="273"/>
        <v>-104.97689326846928</v>
      </c>
      <c r="I641" s="304">
        <f t="shared" ca="1" si="274"/>
        <v>105.15948046393035</v>
      </c>
      <c r="J641" s="306">
        <f t="shared" ca="1" si="275"/>
        <v>745.87074281998321</v>
      </c>
      <c r="K641" s="307">
        <f t="shared" ca="1" si="276"/>
        <v>-9.9382777870907848</v>
      </c>
      <c r="L641" s="304">
        <f t="shared" ca="1" si="261"/>
        <v>745.93695066017938</v>
      </c>
      <c r="M641" s="306">
        <f t="shared" ca="1" si="277"/>
        <v>-1.5118592218167717</v>
      </c>
      <c r="N641" s="304">
        <f t="shared" ca="1" si="278"/>
        <v>-86.623152628033964</v>
      </c>
      <c r="P641" s="310">
        <f t="shared" ca="1" si="279"/>
        <v>23</v>
      </c>
      <c r="Q641" s="304">
        <f t="shared" ca="1" si="280"/>
        <v>0</v>
      </c>
      <c r="R641" s="306">
        <f t="shared" ca="1" si="281"/>
        <v>0</v>
      </c>
      <c r="S641" s="307">
        <f t="shared" ca="1" si="282"/>
        <v>2.9792999999999985</v>
      </c>
      <c r="T641" s="304">
        <f t="shared" ca="1" si="262"/>
        <v>29.226932999999988</v>
      </c>
      <c r="U641" s="311">
        <f t="shared" ca="1" si="263"/>
        <v>0</v>
      </c>
      <c r="V641" s="306">
        <f t="shared" ca="1" si="264"/>
        <v>1.2262180442920454</v>
      </c>
      <c r="W641" s="304">
        <f t="shared" ca="1" si="265"/>
        <v>27.767541891054655</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0.47282848162855018</v>
      </c>
      <c r="AH641" s="304">
        <f t="shared" ca="1" si="289"/>
        <v>-9.320138210772825</v>
      </c>
    </row>
    <row r="642" spans="1:34" x14ac:dyDescent="0.2">
      <c r="A642" s="347">
        <f t="shared" ca="1" si="267"/>
        <v>1E-4</v>
      </c>
      <c r="B642" s="304">
        <f t="shared" ca="1" si="268"/>
        <v>36.812200000000615</v>
      </c>
      <c r="D642" s="306">
        <f t="shared" ca="1" si="269"/>
        <v>-0.54898508175199434</v>
      </c>
      <c r="E642" s="307">
        <f t="shared" ca="1" si="270"/>
        <v>-0.50602610422061822</v>
      </c>
      <c r="F642" s="304">
        <f t="shared" ca="1" si="271"/>
        <v>0.74662375942568271</v>
      </c>
      <c r="G642" s="306">
        <f t="shared" ca="1" si="272"/>
        <v>6.1941529720883217</v>
      </c>
      <c r="H642" s="307">
        <f t="shared" ca="1" si="273"/>
        <v>-104.97694387107971</v>
      </c>
      <c r="I642" s="304">
        <f t="shared" ca="1" si="274"/>
        <v>105.15952774500964</v>
      </c>
      <c r="J642" s="306">
        <f t="shared" ca="1" si="275"/>
        <v>745.87074281998321</v>
      </c>
      <c r="K642" s="307">
        <f t="shared" ca="1" si="276"/>
        <v>-9.9487754789477627</v>
      </c>
      <c r="L642" s="304">
        <f t="shared" ca="1" si="261"/>
        <v>745.93709059703156</v>
      </c>
      <c r="M642" s="306">
        <f t="shared" ca="1" si="277"/>
        <v>-1.5118597713041537</v>
      </c>
      <c r="N642" s="304">
        <f t="shared" ca="1" si="278"/>
        <v>-86.623184111341857</v>
      </c>
      <c r="P642" s="310">
        <f t="shared" ca="1" si="279"/>
        <v>23</v>
      </c>
      <c r="Q642" s="304">
        <f t="shared" ca="1" si="280"/>
        <v>0</v>
      </c>
      <c r="R642" s="306">
        <f t="shared" ca="1" si="281"/>
        <v>0</v>
      </c>
      <c r="S642" s="307">
        <f t="shared" ca="1" si="282"/>
        <v>2.9792999999999985</v>
      </c>
      <c r="T642" s="304">
        <f t="shared" ca="1" si="262"/>
        <v>29.226932999999988</v>
      </c>
      <c r="U642" s="311">
        <f t="shared" ca="1" si="263"/>
        <v>0</v>
      </c>
      <c r="V642" s="306">
        <f t="shared" ca="1" si="264"/>
        <v>1.2262193315389569</v>
      </c>
      <c r="W642" s="304">
        <f t="shared" ca="1" si="265"/>
        <v>27.767596009919625</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0.47281063390811617</v>
      </c>
      <c r="AH642" s="304">
        <f t="shared" ca="1" si="289"/>
        <v>-9.3201563760127115</v>
      </c>
    </row>
    <row r="643" spans="1:34" x14ac:dyDescent="0.2">
      <c r="A643" s="347">
        <f t="shared" ca="1" si="267"/>
        <v>1E-4</v>
      </c>
      <c r="B643" s="304">
        <f t="shared" ca="1" si="268"/>
        <v>36.812300000000619</v>
      </c>
      <c r="D643" s="306">
        <f t="shared" ca="1" si="269"/>
        <v>-0.54898103929614661</v>
      </c>
      <c r="E643" s="307">
        <f t="shared" ca="1" si="270"/>
        <v>-0.50600766914079109</v>
      </c>
      <c r="F643" s="304">
        <f t="shared" ca="1" si="271"/>
        <v>0.74660829270506601</v>
      </c>
      <c r="G643" s="306">
        <f t="shared" ca="1" si="272"/>
        <v>6.1940980739843923</v>
      </c>
      <c r="H643" s="307">
        <f t="shared" ca="1" si="273"/>
        <v>-104.97699447184662</v>
      </c>
      <c r="I643" s="304">
        <f t="shared" ca="1" si="274"/>
        <v>105.15957502430415</v>
      </c>
      <c r="J643" s="306">
        <f t="shared" ca="1" si="275"/>
        <v>745.87074281998321</v>
      </c>
      <c r="K643" s="307">
        <f t="shared" ca="1" si="276"/>
        <v>-9.9592731758649098</v>
      </c>
      <c r="L643" s="304">
        <f t="shared" ca="1" si="261"/>
        <v>745.93723068166071</v>
      </c>
      <c r="M643" s="306">
        <f t="shared" ca="1" si="277"/>
        <v>-1.5118603207861718</v>
      </c>
      <c r="N643" s="304">
        <f t="shared" ca="1" si="278"/>
        <v>-86.623215594342412</v>
      </c>
      <c r="P643" s="310">
        <f t="shared" ca="1" si="279"/>
        <v>23</v>
      </c>
      <c r="Q643" s="304">
        <f t="shared" ca="1" si="280"/>
        <v>0</v>
      </c>
      <c r="R643" s="306">
        <f t="shared" ca="1" si="281"/>
        <v>0</v>
      </c>
      <c r="S643" s="307">
        <f t="shared" ca="1" si="282"/>
        <v>2.9792999999999985</v>
      </c>
      <c r="T643" s="304">
        <f t="shared" ca="1" si="262"/>
        <v>29.226932999999988</v>
      </c>
      <c r="U643" s="311">
        <f t="shared" ca="1" si="263"/>
        <v>0</v>
      </c>
      <c r="V643" s="306">
        <f t="shared" ca="1" si="264"/>
        <v>1.2262206187878411</v>
      </c>
      <c r="W643" s="304">
        <f t="shared" ca="1" si="265"/>
        <v>27.767650127950354</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0.4727927864616337</v>
      </c>
      <c r="AH643" s="304">
        <f t="shared" ca="1" si="289"/>
        <v>-9.3201745409725909</v>
      </c>
    </row>
    <row r="644" spans="1:34" x14ac:dyDescent="0.2">
      <c r="A644" s="347">
        <f t="shared" ca="1" si="267"/>
        <v>1E-4</v>
      </c>
      <c r="B644" s="304">
        <f t="shared" ca="1" si="268"/>
        <v>36.812400000000622</v>
      </c>
      <c r="D644" s="306">
        <f t="shared" ca="1" si="269"/>
        <v>-0.54897699685361778</v>
      </c>
      <c r="E644" s="307">
        <f t="shared" ca="1" si="270"/>
        <v>-0.50598923434506915</v>
      </c>
      <c r="F644" s="304">
        <f t="shared" ca="1" si="271"/>
        <v>0.74659282634346702</v>
      </c>
      <c r="G644" s="306">
        <f t="shared" ca="1" si="272"/>
        <v>6.1940431762847066</v>
      </c>
      <c r="H644" s="307">
        <f t="shared" ca="1" si="273"/>
        <v>-104.97704507077006</v>
      </c>
      <c r="I644" s="304">
        <f t="shared" ca="1" si="274"/>
        <v>105.15962230181395</v>
      </c>
      <c r="J644" s="306">
        <f t="shared" ca="1" si="275"/>
        <v>745.87074281998321</v>
      </c>
      <c r="K644" s="307">
        <f t="shared" ca="1" si="276"/>
        <v>-9.9697708778420413</v>
      </c>
      <c r="L644" s="304">
        <f t="shared" ref="L644:L707" ca="1" si="290">SQRT(pos_x^2+pos_z^2)</f>
        <v>745.93737091406695</v>
      </c>
      <c r="M644" s="306">
        <f t="shared" ca="1" si="277"/>
        <v>-1.5118608702628256</v>
      </c>
      <c r="N644" s="304">
        <f t="shared" ca="1" si="278"/>
        <v>-86.623247077035614</v>
      </c>
      <c r="P644" s="310">
        <f t="shared" ca="1" si="279"/>
        <v>23</v>
      </c>
      <c r="Q644" s="304">
        <f t="shared" ca="1" si="280"/>
        <v>0</v>
      </c>
      <c r="R644" s="306">
        <f t="shared" ca="1" si="281"/>
        <v>0</v>
      </c>
      <c r="S644" s="307">
        <f t="shared" ca="1" si="282"/>
        <v>2.9792999999999985</v>
      </c>
      <c r="T644" s="304">
        <f t="shared" ref="T644:T707" ca="1" si="291">m*g</f>
        <v>29.226932999999988</v>
      </c>
      <c r="U644" s="311">
        <f t="shared" ref="U644:U707" ca="1" si="292">IF(pos_xz&lt;L_rampe,Poids*COS(Beta),0)</f>
        <v>0</v>
      </c>
      <c r="V644" s="306">
        <f t="shared" ref="V644:V707" ca="1" si="293">Rho_moyen*(20000-Alt_rampe-pos_z)/(20000+Alt_rampe+pos_z)</f>
        <v>1.2262219060386974</v>
      </c>
      <c r="W644" s="304">
        <f t="shared" ref="W644:W707" ca="1" si="294">1/2*Rho*Sref*Cx*vit_xz^2</f>
        <v>27.767704245146884</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0.47277493928910452</v>
      </c>
      <c r="AH644" s="304">
        <f t="shared" ca="1" si="289"/>
        <v>-9.3201927056524578</v>
      </c>
    </row>
    <row r="645" spans="1:34" x14ac:dyDescent="0.2">
      <c r="A645" s="347">
        <f t="shared" ref="A645:A708" ca="1" si="296">IF(B644+0.01&lt;=T_ini+ROUNDUP(Temps_fin_propu,0), 0.01, IF(K644&gt;0, 0.1, 0.0001))</f>
        <v>1E-4</v>
      </c>
      <c r="B645" s="304">
        <f t="shared" ref="B645:B708" ca="1" si="297">B644+pas</f>
        <v>36.812500000000625</v>
      </c>
      <c r="D645" s="306">
        <f t="shared" ref="D645:D708" ca="1" si="298">IF(AND(L644&lt;L_rampe,Poussee&lt;Poids*SIN(M644)),0,(-W644+Poussee)/m*COS(M644)-U644/m*SIN(M644))</f>
        <v>-0.54897295442441352</v>
      </c>
      <c r="E645" s="307">
        <f t="shared" ref="E645:E708" ca="1" si="299">IF(AND(L644&lt;L_rampe,Poussee&lt;Poids*SIN(M644)),0,(-W644+Poussee)/m*SIN(M644)+U644/m*COS(M644)-Poids/m)</f>
        <v>-0.5059707998334364</v>
      </c>
      <c r="F645" s="304">
        <f t="shared" ref="F645:F708" ca="1" si="300">SQRT(acc_x^2+acc_z^2)</f>
        <v>0.74657736034088029</v>
      </c>
      <c r="G645" s="306">
        <f t="shared" ref="G645:G708" ca="1" si="301">G644+acc_x*pas</f>
        <v>6.1939882789892637</v>
      </c>
      <c r="H645" s="307">
        <f t="shared" ref="H645:H708" ca="1" si="302">H644+acc_z*pas</f>
        <v>-104.97709566785004</v>
      </c>
      <c r="I645" s="304">
        <f t="shared" ref="I645:I708" ca="1" si="303">SQRT(vit_x^2+vit_z^2)</f>
        <v>105.15966957753908</v>
      </c>
      <c r="J645" s="306">
        <f t="shared" ref="J645:J708" ca="1" si="304">J644+0.5*(vit_x+G644)*pas*(K644&gt;=0)</f>
        <v>745.87074281998321</v>
      </c>
      <c r="K645" s="307">
        <f t="shared" ref="K645:K708" ca="1" si="305">K644+0.5*(vit_z+H644)*pas</f>
        <v>-9.9802685848789725</v>
      </c>
      <c r="L645" s="304">
        <f t="shared" ca="1" si="290"/>
        <v>745.93751129425027</v>
      </c>
      <c r="M645" s="306">
        <f t="shared" ref="M645:M708" ca="1" si="306">IF(AND(L644&gt;L_rampe,G645&gt;0),ATAN2(G645,H645),$M$4)</f>
        <v>-1.5118614197341156</v>
      </c>
      <c r="N645" s="304">
        <f t="shared" ref="N645:N708" ca="1" si="307">DEGREES(Beta)</f>
        <v>-86.623278559421493</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2.9792999999999985</v>
      </c>
      <c r="T645" s="304">
        <f t="shared" ca="1" si="291"/>
        <v>29.226932999999988</v>
      </c>
      <c r="U645" s="311">
        <f t="shared" ca="1" si="292"/>
        <v>0</v>
      </c>
      <c r="V645" s="306">
        <f t="shared" ca="1" si="293"/>
        <v>1.2262231932915266</v>
      </c>
      <c r="W645" s="304">
        <f t="shared" ca="1" si="294"/>
        <v>27.767758361509234</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0.47275709239051977</v>
      </c>
      <c r="AH645" s="304">
        <f t="shared" ref="AH645:AH708" ca="1" si="318">IF(AND(L644&lt;L_rampe,Poussee&lt;Poids*SIN(M644)), g*SIN(M644), (-W644+Poussee)/m)</f>
        <v>-9.3202108700523265</v>
      </c>
    </row>
    <row r="646" spans="1:34" x14ac:dyDescent="0.2">
      <c r="A646" s="347">
        <f t="shared" ca="1" si="296"/>
        <v>1E-4</v>
      </c>
      <c r="B646" s="304">
        <f t="shared" ca="1" si="297"/>
        <v>36.812600000000629</v>
      </c>
      <c r="D646" s="306">
        <f t="shared" ca="1" si="298"/>
        <v>-0.54896891200852893</v>
      </c>
      <c r="E646" s="307">
        <f t="shared" ca="1" si="299"/>
        <v>-0.50595236560588752</v>
      </c>
      <c r="F646" s="304">
        <f t="shared" ca="1" si="300"/>
        <v>0.7465618946972995</v>
      </c>
      <c r="G646" s="306">
        <f t="shared" ca="1" si="301"/>
        <v>6.1939333820980629</v>
      </c>
      <c r="H646" s="307">
        <f t="shared" ca="1" si="302"/>
        <v>-104.9771462630866</v>
      </c>
      <c r="I646" s="304">
        <f t="shared" ca="1" si="303"/>
        <v>105.15971685147952</v>
      </c>
      <c r="J646" s="306">
        <f t="shared" ca="1" si="304"/>
        <v>745.87074281998321</v>
      </c>
      <c r="K646" s="307">
        <f t="shared" ca="1" si="305"/>
        <v>-9.9907662969755187</v>
      </c>
      <c r="L646" s="304">
        <f t="shared" ca="1" si="290"/>
        <v>745.93765182221114</v>
      </c>
      <c r="M646" s="306">
        <f t="shared" ca="1" si="306"/>
        <v>-1.5118619692000415</v>
      </c>
      <c r="N646" s="304">
        <f t="shared" ca="1" si="307"/>
        <v>-86.623310041500034</v>
      </c>
      <c r="P646" s="310">
        <f t="shared" ca="1" si="308"/>
        <v>23</v>
      </c>
      <c r="Q646" s="304">
        <f t="shared" ca="1" si="309"/>
        <v>0</v>
      </c>
      <c r="R646" s="306">
        <f t="shared" ca="1" si="310"/>
        <v>0</v>
      </c>
      <c r="S646" s="307">
        <f t="shared" ca="1" si="311"/>
        <v>2.9792999999999985</v>
      </c>
      <c r="T646" s="304">
        <f t="shared" ca="1" si="291"/>
        <v>29.226932999999988</v>
      </c>
      <c r="U646" s="311">
        <f t="shared" ca="1" si="292"/>
        <v>0</v>
      </c>
      <c r="V646" s="306">
        <f t="shared" ca="1" si="293"/>
        <v>1.226224480546328</v>
      </c>
      <c r="W646" s="304">
        <f t="shared" ca="1" si="294"/>
        <v>27.767812477037388</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0.47273924576587056</v>
      </c>
      <c r="AH646" s="304">
        <f t="shared" ca="1" si="318"/>
        <v>-9.3202290341722041</v>
      </c>
    </row>
    <row r="647" spans="1:34" x14ac:dyDescent="0.2">
      <c r="A647" s="347">
        <f t="shared" ca="1" si="296"/>
        <v>1E-4</v>
      </c>
      <c r="B647" s="304">
        <f t="shared" ca="1" si="297"/>
        <v>36.812700000000632</v>
      </c>
      <c r="D647" s="306">
        <f t="shared" ca="1" si="298"/>
        <v>-0.54896486960596835</v>
      </c>
      <c r="E647" s="307">
        <f t="shared" ca="1" si="299"/>
        <v>-0.50593393166242606</v>
      </c>
      <c r="F647" s="304">
        <f t="shared" ca="1" si="300"/>
        <v>0.7465464294127313</v>
      </c>
      <c r="G647" s="306">
        <f t="shared" ca="1" si="301"/>
        <v>6.1938784856111022</v>
      </c>
      <c r="H647" s="307">
        <f t="shared" ca="1" si="302"/>
        <v>-104.97719685647976</v>
      </c>
      <c r="I647" s="304">
        <f t="shared" ca="1" si="303"/>
        <v>105.15976412363533</v>
      </c>
      <c r="J647" s="306">
        <f t="shared" ca="1" si="304"/>
        <v>745.87074281998321</v>
      </c>
      <c r="K647" s="307">
        <f t="shared" ca="1" si="305"/>
        <v>-10.001264014131497</v>
      </c>
      <c r="L647" s="304">
        <f t="shared" ca="1" si="290"/>
        <v>745.93779249794943</v>
      </c>
      <c r="M647" s="306">
        <f t="shared" ca="1" si="306"/>
        <v>-1.5118625186606036</v>
      </c>
      <c r="N647" s="304">
        <f t="shared" ca="1" si="307"/>
        <v>-86.62334152327125</v>
      </c>
      <c r="P647" s="310">
        <f t="shared" ca="1" si="308"/>
        <v>23</v>
      </c>
      <c r="Q647" s="304">
        <f t="shared" ca="1" si="309"/>
        <v>0</v>
      </c>
      <c r="R647" s="306">
        <f t="shared" ca="1" si="310"/>
        <v>0</v>
      </c>
      <c r="S647" s="307">
        <f t="shared" ca="1" si="311"/>
        <v>2.9792999999999985</v>
      </c>
      <c r="T647" s="304">
        <f t="shared" ca="1" si="291"/>
        <v>29.226932999999988</v>
      </c>
      <c r="U647" s="311">
        <f t="shared" ca="1" si="292"/>
        <v>0</v>
      </c>
      <c r="V647" s="306">
        <f t="shared" ca="1" si="293"/>
        <v>1.2262257678031021</v>
      </c>
      <c r="W647" s="304">
        <f t="shared" ca="1" si="294"/>
        <v>27.767866591731369</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0.47272139941516222</v>
      </c>
      <c r="AH647" s="304">
        <f t="shared" ca="1" si="318"/>
        <v>-9.3202471980120833</v>
      </c>
    </row>
    <row r="648" spans="1:34" x14ac:dyDescent="0.2">
      <c r="A648" s="347">
        <f t="shared" ca="1" si="296"/>
        <v>1E-4</v>
      </c>
      <c r="B648" s="304">
        <f t="shared" ca="1" si="297"/>
        <v>36.812800000000635</v>
      </c>
      <c r="D648" s="306">
        <f t="shared" ca="1" si="298"/>
        <v>-0.54896082721672901</v>
      </c>
      <c r="E648" s="307">
        <f t="shared" ca="1" si="299"/>
        <v>-0.50591549800304669</v>
      </c>
      <c r="F648" s="304">
        <f t="shared" ca="1" si="300"/>
        <v>0.74653096448717127</v>
      </c>
      <c r="G648" s="306">
        <f t="shared" ca="1" si="301"/>
        <v>6.1938235895283809</v>
      </c>
      <c r="H648" s="307">
        <f t="shared" ca="1" si="302"/>
        <v>-104.97724744802956</v>
      </c>
      <c r="I648" s="304">
        <f t="shared" ca="1" si="303"/>
        <v>105.15981139400654</v>
      </c>
      <c r="J648" s="306">
        <f t="shared" ca="1" si="304"/>
        <v>745.87074281998321</v>
      </c>
      <c r="K648" s="307">
        <f t="shared" ca="1" si="305"/>
        <v>-10.011761736346722</v>
      </c>
      <c r="L648" s="304">
        <f t="shared" ca="1" si="290"/>
        <v>745.93793332146538</v>
      </c>
      <c r="M648" s="306">
        <f t="shared" ca="1" si="306"/>
        <v>-1.5118630681158018</v>
      </c>
      <c r="N648" s="304">
        <f t="shared" ca="1" si="307"/>
        <v>-86.623373004735143</v>
      </c>
      <c r="P648" s="310">
        <f t="shared" ca="1" si="308"/>
        <v>23</v>
      </c>
      <c r="Q648" s="304">
        <f t="shared" ca="1" si="309"/>
        <v>0</v>
      </c>
      <c r="R648" s="306">
        <f t="shared" ca="1" si="310"/>
        <v>0</v>
      </c>
      <c r="S648" s="307">
        <f t="shared" ca="1" si="311"/>
        <v>2.9792999999999985</v>
      </c>
      <c r="T648" s="304">
        <f t="shared" ca="1" si="291"/>
        <v>29.226932999999988</v>
      </c>
      <c r="U648" s="311">
        <f t="shared" ca="1" si="292"/>
        <v>0</v>
      </c>
      <c r="V648" s="306">
        <f t="shared" ca="1" si="293"/>
        <v>1.2262270550618484</v>
      </c>
      <c r="W648" s="304">
        <f t="shared" ca="1" si="294"/>
        <v>27.767920705591184</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0.47270355333838587</v>
      </c>
      <c r="AH648" s="304">
        <f t="shared" ca="1" si="318"/>
        <v>-9.320265361571975</v>
      </c>
    </row>
    <row r="649" spans="1:34" x14ac:dyDescent="0.2">
      <c r="A649" s="347">
        <f t="shared" ca="1" si="296"/>
        <v>1E-4</v>
      </c>
      <c r="B649" s="304">
        <f t="shared" ca="1" si="297"/>
        <v>36.812900000000639</v>
      </c>
      <c r="D649" s="306">
        <f t="shared" ca="1" si="298"/>
        <v>-0.54895678484081378</v>
      </c>
      <c r="E649" s="307">
        <f t="shared" ca="1" si="299"/>
        <v>-0.50589706462774764</v>
      </c>
      <c r="F649" s="304">
        <f t="shared" ca="1" si="300"/>
        <v>0.74651549992062116</v>
      </c>
      <c r="G649" s="306">
        <f t="shared" ca="1" si="301"/>
        <v>6.193768693849897</v>
      </c>
      <c r="H649" s="307">
        <f t="shared" ca="1" si="302"/>
        <v>-104.97729803773602</v>
      </c>
      <c r="I649" s="304">
        <f t="shared" ca="1" si="303"/>
        <v>105.15985866259317</v>
      </c>
      <c r="J649" s="306">
        <f t="shared" ca="1" si="304"/>
        <v>745.87074281998321</v>
      </c>
      <c r="K649" s="307">
        <f t="shared" ca="1" si="305"/>
        <v>-10.02225946362101</v>
      </c>
      <c r="L649" s="304">
        <f t="shared" ca="1" si="290"/>
        <v>745.93807429275898</v>
      </c>
      <c r="M649" s="306">
        <f t="shared" ca="1" si="306"/>
        <v>-1.5118636175656361</v>
      </c>
      <c r="N649" s="304">
        <f t="shared" ca="1" si="307"/>
        <v>-86.623404485891697</v>
      </c>
      <c r="P649" s="310">
        <f t="shared" ca="1" si="308"/>
        <v>23</v>
      </c>
      <c r="Q649" s="304">
        <f t="shared" ca="1" si="309"/>
        <v>0</v>
      </c>
      <c r="R649" s="306">
        <f t="shared" ca="1" si="310"/>
        <v>0</v>
      </c>
      <c r="S649" s="307">
        <f t="shared" ca="1" si="311"/>
        <v>2.9792999999999985</v>
      </c>
      <c r="T649" s="304">
        <f t="shared" ca="1" si="291"/>
        <v>29.226932999999988</v>
      </c>
      <c r="U649" s="311">
        <f t="shared" ca="1" si="292"/>
        <v>0</v>
      </c>
      <c r="V649" s="306">
        <f t="shared" ca="1" si="293"/>
        <v>1.2262283423225671</v>
      </c>
      <c r="W649" s="304">
        <f t="shared" ca="1" si="294"/>
        <v>27.767974818616842</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0.47268570753554329</v>
      </c>
      <c r="AH649" s="304">
        <f t="shared" ca="1" si="318"/>
        <v>-9.3202835248518774</v>
      </c>
    </row>
    <row r="650" spans="1:34" x14ac:dyDescent="0.2">
      <c r="A650" s="347">
        <f t="shared" ca="1" si="296"/>
        <v>1E-4</v>
      </c>
      <c r="B650" s="304">
        <f t="shared" ca="1" si="297"/>
        <v>36.813000000000642</v>
      </c>
      <c r="D650" s="306">
        <f t="shared" ca="1" si="298"/>
        <v>-0.54895274247822368</v>
      </c>
      <c r="E650" s="307">
        <f t="shared" ca="1" si="299"/>
        <v>-0.50587863153652357</v>
      </c>
      <c r="F650" s="304">
        <f t="shared" ca="1" si="300"/>
        <v>0.74650003571307932</v>
      </c>
      <c r="G650" s="306">
        <f t="shared" ca="1" si="301"/>
        <v>6.193713798575649</v>
      </c>
      <c r="H650" s="307">
        <f t="shared" ca="1" si="302"/>
        <v>-104.97734862559918</v>
      </c>
      <c r="I650" s="304">
        <f t="shared" ca="1" si="303"/>
        <v>105.15990592939524</v>
      </c>
      <c r="J650" s="306">
        <f t="shared" ca="1" si="304"/>
        <v>745.87074281998321</v>
      </c>
      <c r="K650" s="307">
        <f t="shared" ca="1" si="305"/>
        <v>-10.032757195954177</v>
      </c>
      <c r="L650" s="304">
        <f t="shared" ca="1" si="290"/>
        <v>745.93821541183047</v>
      </c>
      <c r="M650" s="306">
        <f t="shared" ca="1" si="306"/>
        <v>-1.511864167010107</v>
      </c>
      <c r="N650" s="304">
        <f t="shared" ca="1" si="307"/>
        <v>-86.623435966740956</v>
      </c>
      <c r="P650" s="310">
        <f t="shared" ca="1" si="308"/>
        <v>23</v>
      </c>
      <c r="Q650" s="304">
        <f t="shared" ca="1" si="309"/>
        <v>0</v>
      </c>
      <c r="R650" s="306">
        <f t="shared" ca="1" si="310"/>
        <v>0</v>
      </c>
      <c r="S650" s="307">
        <f t="shared" ca="1" si="311"/>
        <v>2.9792999999999985</v>
      </c>
      <c r="T650" s="304">
        <f t="shared" ca="1" si="291"/>
        <v>29.226932999999988</v>
      </c>
      <c r="U650" s="311">
        <f t="shared" ca="1" si="292"/>
        <v>0</v>
      </c>
      <c r="V650" s="306">
        <f t="shared" ca="1" si="293"/>
        <v>1.2262296295852577</v>
      </c>
      <c r="W650" s="304">
        <f t="shared" ca="1" si="294"/>
        <v>27.768028930808342</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0.47266786200662736</v>
      </c>
      <c r="AH650" s="304">
        <f t="shared" ca="1" si="318"/>
        <v>-9.3203016878517957</v>
      </c>
    </row>
    <row r="651" spans="1:34" x14ac:dyDescent="0.2">
      <c r="A651" s="347">
        <f t="shared" ca="1" si="296"/>
        <v>1E-4</v>
      </c>
      <c r="B651" s="304">
        <f t="shared" ca="1" si="297"/>
        <v>36.813100000000645</v>
      </c>
      <c r="D651" s="306">
        <f t="shared" ca="1" si="298"/>
        <v>-0.54894870012895525</v>
      </c>
      <c r="E651" s="307">
        <f t="shared" ca="1" si="299"/>
        <v>-0.50586019872937626</v>
      </c>
      <c r="F651" s="304">
        <f t="shared" ca="1" si="300"/>
        <v>0.74648457186454542</v>
      </c>
      <c r="G651" s="306">
        <f t="shared" ca="1" si="301"/>
        <v>6.1936589037056358</v>
      </c>
      <c r="H651" s="307">
        <f t="shared" ca="1" si="302"/>
        <v>-104.97739921161904</v>
      </c>
      <c r="I651" s="304">
        <f t="shared" ca="1" si="303"/>
        <v>105.15995319441278</v>
      </c>
      <c r="J651" s="306">
        <f t="shared" ca="1" si="304"/>
        <v>745.87074281998321</v>
      </c>
      <c r="K651" s="307">
        <f t="shared" ca="1" si="305"/>
        <v>-10.043254933346038</v>
      </c>
      <c r="L651" s="304">
        <f t="shared" ca="1" si="290"/>
        <v>745.93835667868007</v>
      </c>
      <c r="M651" s="306">
        <f t="shared" ca="1" si="306"/>
        <v>-1.5118647164492143</v>
      </c>
      <c r="N651" s="304">
        <f t="shared" ca="1" si="307"/>
        <v>-86.623467447282906</v>
      </c>
      <c r="P651" s="310">
        <f t="shared" ca="1" si="308"/>
        <v>23</v>
      </c>
      <c r="Q651" s="304">
        <f t="shared" ca="1" si="309"/>
        <v>0</v>
      </c>
      <c r="R651" s="306">
        <f t="shared" ca="1" si="310"/>
        <v>0</v>
      </c>
      <c r="S651" s="307">
        <f t="shared" ca="1" si="311"/>
        <v>2.9792999999999985</v>
      </c>
      <c r="T651" s="304">
        <f t="shared" ca="1" si="291"/>
        <v>29.226932999999988</v>
      </c>
      <c r="U651" s="311">
        <f t="shared" ca="1" si="292"/>
        <v>0</v>
      </c>
      <c r="V651" s="306">
        <f t="shared" ca="1" si="293"/>
        <v>1.2262309168499212</v>
      </c>
      <c r="W651" s="304">
        <f t="shared" ca="1" si="294"/>
        <v>27.768083042165724</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0.47265001675164342</v>
      </c>
      <c r="AH651" s="304">
        <f t="shared" ca="1" si="318"/>
        <v>-9.32031985057173</v>
      </c>
    </row>
    <row r="652" spans="1:34" x14ac:dyDescent="0.2">
      <c r="A652" s="347">
        <f t="shared" ca="1" si="296"/>
        <v>1E-4</v>
      </c>
      <c r="B652" s="304">
        <f t="shared" ca="1" si="297"/>
        <v>36.813200000000649</v>
      </c>
      <c r="D652" s="306">
        <f t="shared" ca="1" si="298"/>
        <v>-0.54894465779301016</v>
      </c>
      <c r="E652" s="307">
        <f t="shared" ca="1" si="299"/>
        <v>-0.50584176620629151</v>
      </c>
      <c r="F652" s="304">
        <f t="shared" ca="1" si="300"/>
        <v>0.74646910837501201</v>
      </c>
      <c r="G652" s="306">
        <f t="shared" ca="1" si="301"/>
        <v>6.1936040092398565</v>
      </c>
      <c r="H652" s="307">
        <f t="shared" ca="1" si="302"/>
        <v>-104.97744979579566</v>
      </c>
      <c r="I652" s="304">
        <f t="shared" ca="1" si="303"/>
        <v>105.16000045764584</v>
      </c>
      <c r="J652" s="306">
        <f t="shared" ca="1" si="304"/>
        <v>745.87074281998321</v>
      </c>
      <c r="K652" s="307">
        <f t="shared" ca="1" si="305"/>
        <v>-10.053752675796408</v>
      </c>
      <c r="L652" s="304">
        <f t="shared" ca="1" si="290"/>
        <v>745.93849809330777</v>
      </c>
      <c r="M652" s="306">
        <f t="shared" ca="1" si="306"/>
        <v>-1.5118652658829579</v>
      </c>
      <c r="N652" s="304">
        <f t="shared" ca="1" si="307"/>
        <v>-86.623498927517531</v>
      </c>
      <c r="P652" s="310">
        <f t="shared" ca="1" si="308"/>
        <v>23</v>
      </c>
      <c r="Q652" s="304">
        <f t="shared" ca="1" si="309"/>
        <v>0</v>
      </c>
      <c r="R652" s="306">
        <f t="shared" ca="1" si="310"/>
        <v>0</v>
      </c>
      <c r="S652" s="307">
        <f t="shared" ca="1" si="311"/>
        <v>2.9792999999999985</v>
      </c>
      <c r="T652" s="304">
        <f t="shared" ca="1" si="291"/>
        <v>29.226932999999988</v>
      </c>
      <c r="U652" s="311">
        <f t="shared" ca="1" si="292"/>
        <v>0</v>
      </c>
      <c r="V652" s="306">
        <f t="shared" ca="1" si="293"/>
        <v>1.226232204116557</v>
      </c>
      <c r="W652" s="304">
        <f t="shared" ca="1" si="294"/>
        <v>27.768137152688983</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0.47263217177057371</v>
      </c>
      <c r="AH652" s="304">
        <f t="shared" ca="1" si="318"/>
        <v>-9.3203380130116926</v>
      </c>
    </row>
    <row r="653" spans="1:34" x14ac:dyDescent="0.2">
      <c r="A653" s="347">
        <f t="shared" ca="1" si="296"/>
        <v>1E-4</v>
      </c>
      <c r="B653" s="304">
        <f t="shared" ca="1" si="297"/>
        <v>36.813300000000652</v>
      </c>
      <c r="D653" s="306">
        <f t="shared" ca="1" si="298"/>
        <v>-0.54894061547039097</v>
      </c>
      <c r="E653" s="307">
        <f t="shared" ca="1" si="299"/>
        <v>-0.50582333396727108</v>
      </c>
      <c r="F653" s="304">
        <f t="shared" ca="1" si="300"/>
        <v>0.74645364524448343</v>
      </c>
      <c r="G653" s="306">
        <f t="shared" ca="1" si="301"/>
        <v>6.1935491151783095</v>
      </c>
      <c r="H653" s="307">
        <f t="shared" ca="1" si="302"/>
        <v>-104.97750037812906</v>
      </c>
      <c r="I653" s="304">
        <f t="shared" ca="1" si="303"/>
        <v>105.16004771909441</v>
      </c>
      <c r="J653" s="306">
        <f t="shared" ca="1" si="304"/>
        <v>745.87074281998321</v>
      </c>
      <c r="K653" s="307">
        <f t="shared" ca="1" si="305"/>
        <v>-10.064250423305104</v>
      </c>
      <c r="L653" s="304">
        <f t="shared" ca="1" si="290"/>
        <v>745.93863965571359</v>
      </c>
      <c r="M653" s="306">
        <f t="shared" ca="1" si="306"/>
        <v>-1.5118658153113378</v>
      </c>
      <c r="N653" s="304">
        <f t="shared" ca="1" si="307"/>
        <v>-86.623530407444846</v>
      </c>
      <c r="P653" s="310">
        <f t="shared" ca="1" si="308"/>
        <v>23</v>
      </c>
      <c r="Q653" s="304">
        <f t="shared" ca="1" si="309"/>
        <v>0</v>
      </c>
      <c r="R653" s="306">
        <f t="shared" ca="1" si="310"/>
        <v>0</v>
      </c>
      <c r="S653" s="307">
        <f t="shared" ca="1" si="311"/>
        <v>2.9792999999999985</v>
      </c>
      <c r="T653" s="304">
        <f t="shared" ca="1" si="291"/>
        <v>29.226932999999988</v>
      </c>
      <c r="U653" s="311">
        <f t="shared" ca="1" si="292"/>
        <v>0</v>
      </c>
      <c r="V653" s="306">
        <f t="shared" ca="1" si="293"/>
        <v>1.2262334913851645</v>
      </c>
      <c r="W653" s="304">
        <f t="shared" ca="1" si="294"/>
        <v>27.7681912623781</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0.47261432706341999</v>
      </c>
      <c r="AH653" s="304">
        <f t="shared" ca="1" si="318"/>
        <v>-9.3203561751716837</v>
      </c>
    </row>
    <row r="654" spans="1:34" x14ac:dyDescent="0.2">
      <c r="A654" s="347">
        <f t="shared" ca="1" si="296"/>
        <v>1E-4</v>
      </c>
      <c r="B654" s="304">
        <f t="shared" ca="1" si="297"/>
        <v>36.813400000000655</v>
      </c>
      <c r="D654" s="306">
        <f t="shared" ca="1" si="298"/>
        <v>-0.54893657316109812</v>
      </c>
      <c r="E654" s="307">
        <f t="shared" ca="1" si="299"/>
        <v>-0.50580490201232031</v>
      </c>
      <c r="F654" s="304">
        <f t="shared" ca="1" si="300"/>
        <v>0.74643818247296445</v>
      </c>
      <c r="G654" s="306">
        <f t="shared" ca="1" si="301"/>
        <v>6.1934942215209938</v>
      </c>
      <c r="H654" s="307">
        <f t="shared" ca="1" si="302"/>
        <v>-104.97755095861926</v>
      </c>
      <c r="I654" s="304">
        <f t="shared" ca="1" si="303"/>
        <v>105.16009497875855</v>
      </c>
      <c r="J654" s="306">
        <f t="shared" ca="1" si="304"/>
        <v>745.87074281998321</v>
      </c>
      <c r="K654" s="307">
        <f t="shared" ca="1" si="305"/>
        <v>-10.074748175871942</v>
      </c>
      <c r="L654" s="304">
        <f t="shared" ca="1" si="290"/>
        <v>745.93878136589785</v>
      </c>
      <c r="M654" s="306">
        <f t="shared" ca="1" si="306"/>
        <v>-1.5118663647343547</v>
      </c>
      <c r="N654" s="304">
        <f t="shared" ca="1" si="307"/>
        <v>-86.623561887064881</v>
      </c>
      <c r="P654" s="310">
        <f t="shared" ca="1" si="308"/>
        <v>23</v>
      </c>
      <c r="Q654" s="304">
        <f t="shared" ca="1" si="309"/>
        <v>0</v>
      </c>
      <c r="R654" s="306">
        <f t="shared" ca="1" si="310"/>
        <v>0</v>
      </c>
      <c r="S654" s="307">
        <f t="shared" ca="1" si="311"/>
        <v>2.9792999999999985</v>
      </c>
      <c r="T654" s="304">
        <f t="shared" ca="1" si="291"/>
        <v>29.226932999999988</v>
      </c>
      <c r="U654" s="311">
        <f t="shared" ca="1" si="292"/>
        <v>0</v>
      </c>
      <c r="V654" s="306">
        <f t="shared" ca="1" si="293"/>
        <v>1.226234778655745</v>
      </c>
      <c r="W654" s="304">
        <f t="shared" ca="1" si="294"/>
        <v>27.768245371233142</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0.47259648263019116</v>
      </c>
      <c r="AH654" s="304">
        <f t="shared" ca="1" si="318"/>
        <v>-9.3203743370516943</v>
      </c>
    </row>
    <row r="655" spans="1:34" x14ac:dyDescent="0.2">
      <c r="A655" s="347">
        <f t="shared" ca="1" si="296"/>
        <v>1E-4</v>
      </c>
      <c r="B655" s="304">
        <f t="shared" ca="1" si="297"/>
        <v>36.813500000000658</v>
      </c>
      <c r="D655" s="306">
        <f t="shared" ca="1" si="298"/>
        <v>-0.54893253086512761</v>
      </c>
      <c r="E655" s="307">
        <f t="shared" ca="1" si="299"/>
        <v>-0.50578647034141788</v>
      </c>
      <c r="F655" s="304">
        <f t="shared" ca="1" si="300"/>
        <v>0.74642272006043886</v>
      </c>
      <c r="G655" s="306">
        <f t="shared" ca="1" si="301"/>
        <v>6.1934393282679077</v>
      </c>
      <c r="H655" s="307">
        <f t="shared" ca="1" si="302"/>
        <v>-104.9776015372663</v>
      </c>
      <c r="I655" s="304">
        <f t="shared" ca="1" si="303"/>
        <v>105.16014223663826</v>
      </c>
      <c r="J655" s="306">
        <f t="shared" ca="1" si="304"/>
        <v>745.87074281998321</v>
      </c>
      <c r="K655" s="307">
        <f t="shared" ca="1" si="305"/>
        <v>-10.085245933496736</v>
      </c>
      <c r="L655" s="304">
        <f t="shared" ca="1" si="290"/>
        <v>745.93892322386057</v>
      </c>
      <c r="M655" s="306">
        <f t="shared" ca="1" si="306"/>
        <v>-1.5118669141520078</v>
      </c>
      <c r="N655" s="304">
        <f t="shared" ca="1" si="307"/>
        <v>-86.623593366377605</v>
      </c>
      <c r="P655" s="310">
        <f t="shared" ca="1" si="308"/>
        <v>23</v>
      </c>
      <c r="Q655" s="304">
        <f t="shared" ca="1" si="309"/>
        <v>0</v>
      </c>
      <c r="R655" s="306">
        <f t="shared" ca="1" si="310"/>
        <v>0</v>
      </c>
      <c r="S655" s="307">
        <f t="shared" ca="1" si="311"/>
        <v>2.9792999999999985</v>
      </c>
      <c r="T655" s="304">
        <f t="shared" ca="1" si="291"/>
        <v>29.226932999999988</v>
      </c>
      <c r="U655" s="311">
        <f t="shared" ca="1" si="292"/>
        <v>0</v>
      </c>
      <c r="V655" s="306">
        <f t="shared" ca="1" si="293"/>
        <v>1.2262360659282974</v>
      </c>
      <c r="W655" s="304">
        <f t="shared" ca="1" si="294"/>
        <v>27.768299479254068</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0.47257863847086412</v>
      </c>
      <c r="AH655" s="304">
        <f t="shared" ca="1" si="318"/>
        <v>-9.3203924986517492</v>
      </c>
    </row>
    <row r="656" spans="1:34" x14ac:dyDescent="0.2">
      <c r="A656" s="347">
        <f t="shared" ca="1" si="296"/>
        <v>1E-4</v>
      </c>
      <c r="B656" s="304">
        <f t="shared" ca="1" si="297"/>
        <v>36.813600000000662</v>
      </c>
      <c r="D656" s="306">
        <f t="shared" ca="1" si="298"/>
        <v>-0.54892848858248533</v>
      </c>
      <c r="E656" s="307">
        <f t="shared" ca="1" si="299"/>
        <v>-0.50576803895457978</v>
      </c>
      <c r="F656" s="304">
        <f t="shared" ca="1" si="300"/>
        <v>0.74640725800692287</v>
      </c>
      <c r="G656" s="306">
        <f t="shared" ca="1" si="301"/>
        <v>6.1933844354190493</v>
      </c>
      <c r="H656" s="307">
        <f t="shared" ca="1" si="302"/>
        <v>-104.9776521140702</v>
      </c>
      <c r="I656" s="304">
        <f t="shared" ca="1" si="303"/>
        <v>105.16018949273359</v>
      </c>
      <c r="J656" s="306">
        <f t="shared" ca="1" si="304"/>
        <v>745.87074281998321</v>
      </c>
      <c r="K656" s="307">
        <f t="shared" ca="1" si="305"/>
        <v>-10.095743696179303</v>
      </c>
      <c r="L656" s="304">
        <f t="shared" ca="1" si="290"/>
        <v>745.93906522960197</v>
      </c>
      <c r="M656" s="306">
        <f t="shared" ca="1" si="306"/>
        <v>-1.5118674635642979</v>
      </c>
      <c r="N656" s="304">
        <f t="shared" ca="1" si="307"/>
        <v>-86.623624845383034</v>
      </c>
      <c r="P656" s="310">
        <f t="shared" ca="1" si="308"/>
        <v>23</v>
      </c>
      <c r="Q656" s="304">
        <f t="shared" ca="1" si="309"/>
        <v>0</v>
      </c>
      <c r="R656" s="306">
        <f t="shared" ca="1" si="310"/>
        <v>0</v>
      </c>
      <c r="S656" s="307">
        <f t="shared" ca="1" si="311"/>
        <v>2.9792999999999985</v>
      </c>
      <c r="T656" s="304">
        <f t="shared" ca="1" si="291"/>
        <v>29.226932999999988</v>
      </c>
      <c r="U656" s="311">
        <f t="shared" ca="1" si="292"/>
        <v>0</v>
      </c>
      <c r="V656" s="306">
        <f t="shared" ca="1" si="293"/>
        <v>1.2262373532028221</v>
      </c>
      <c r="W656" s="304">
        <f t="shared" ca="1" si="294"/>
        <v>27.768353586440913</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0.47256079458545308</v>
      </c>
      <c r="AH656" s="304">
        <f t="shared" ca="1" si="318"/>
        <v>-9.3204106599718326</v>
      </c>
    </row>
    <row r="657" spans="1:34" x14ac:dyDescent="0.2">
      <c r="A657" s="347">
        <f t="shared" ca="1" si="296"/>
        <v>1E-4</v>
      </c>
      <c r="B657" s="304">
        <f t="shared" ca="1" si="297"/>
        <v>36.813700000000665</v>
      </c>
      <c r="D657" s="306">
        <f t="shared" ca="1" si="298"/>
        <v>-0.54892444631316684</v>
      </c>
      <c r="E657" s="307">
        <f t="shared" ca="1" si="299"/>
        <v>-0.50574960785178824</v>
      </c>
      <c r="F657" s="304">
        <f t="shared" ca="1" si="300"/>
        <v>0.74639179631240216</v>
      </c>
      <c r="G657" s="306">
        <f t="shared" ca="1" si="301"/>
        <v>6.1933295429744177</v>
      </c>
      <c r="H657" s="307">
        <f t="shared" ca="1" si="302"/>
        <v>-104.97770268903098</v>
      </c>
      <c r="I657" s="304">
        <f t="shared" ca="1" si="303"/>
        <v>105.16023674704455</v>
      </c>
      <c r="J657" s="306">
        <f t="shared" ca="1" si="304"/>
        <v>745.87074281998321</v>
      </c>
      <c r="K657" s="307">
        <f t="shared" ca="1" si="305"/>
        <v>-10.106241463919458</v>
      </c>
      <c r="L657" s="304">
        <f t="shared" ca="1" si="290"/>
        <v>745.93920738312215</v>
      </c>
      <c r="M657" s="306">
        <f t="shared" ca="1" si="306"/>
        <v>-1.5118680129712245</v>
      </c>
      <c r="N657" s="304">
        <f t="shared" ca="1" si="307"/>
        <v>-86.623656324081168</v>
      </c>
      <c r="P657" s="310">
        <f t="shared" ca="1" si="308"/>
        <v>23</v>
      </c>
      <c r="Q657" s="304">
        <f t="shared" ca="1" si="309"/>
        <v>0</v>
      </c>
      <c r="R657" s="306">
        <f t="shared" ca="1" si="310"/>
        <v>0</v>
      </c>
      <c r="S657" s="307">
        <f t="shared" ca="1" si="311"/>
        <v>2.9792999999999985</v>
      </c>
      <c r="T657" s="304">
        <f t="shared" ca="1" si="291"/>
        <v>29.226932999999988</v>
      </c>
      <c r="U657" s="311">
        <f t="shared" ca="1" si="292"/>
        <v>0</v>
      </c>
      <c r="V657" s="306">
        <f t="shared" ca="1" si="293"/>
        <v>1.2262386404793189</v>
      </c>
      <c r="W657" s="304">
        <f t="shared" ca="1" si="294"/>
        <v>27.768407692793676</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0.47254295097394561</v>
      </c>
      <c r="AH657" s="304">
        <f t="shared" ca="1" si="318"/>
        <v>-9.3204288210119586</v>
      </c>
    </row>
    <row r="658" spans="1:34" x14ac:dyDescent="0.2">
      <c r="A658" s="347">
        <f t="shared" ca="1" si="296"/>
        <v>1E-4</v>
      </c>
      <c r="B658" s="304">
        <f t="shared" ca="1" si="297"/>
        <v>36.813800000000668</v>
      </c>
      <c r="D658" s="306">
        <f t="shared" ca="1" si="298"/>
        <v>-0.54892040405717679</v>
      </c>
      <c r="E658" s="307">
        <f t="shared" ca="1" si="299"/>
        <v>-0.50573117703305037</v>
      </c>
      <c r="F658" s="304">
        <f t="shared" ca="1" si="300"/>
        <v>0.74637633497688605</v>
      </c>
      <c r="G658" s="306">
        <f t="shared" ca="1" si="301"/>
        <v>6.1932746509340122</v>
      </c>
      <c r="H658" s="307">
        <f t="shared" ca="1" si="302"/>
        <v>-104.97775326214868</v>
      </c>
      <c r="I658" s="304">
        <f t="shared" ca="1" si="303"/>
        <v>105.16028399957121</v>
      </c>
      <c r="J658" s="306">
        <f t="shared" ca="1" si="304"/>
        <v>745.87074281998321</v>
      </c>
      <c r="K658" s="307">
        <f t="shared" ca="1" si="305"/>
        <v>-10.116739236717017</v>
      </c>
      <c r="L658" s="304">
        <f t="shared" ca="1" si="290"/>
        <v>745.93934968442125</v>
      </c>
      <c r="M658" s="306">
        <f t="shared" ca="1" si="306"/>
        <v>-1.5118685623727881</v>
      </c>
      <c r="N658" s="304">
        <f t="shared" ca="1" si="307"/>
        <v>-86.62368780247202</v>
      </c>
      <c r="P658" s="310">
        <f t="shared" ca="1" si="308"/>
        <v>23</v>
      </c>
      <c r="Q658" s="304">
        <f t="shared" ca="1" si="309"/>
        <v>0</v>
      </c>
      <c r="R658" s="306">
        <f t="shared" ca="1" si="310"/>
        <v>0</v>
      </c>
      <c r="S658" s="307">
        <f t="shared" ca="1" si="311"/>
        <v>2.9792999999999985</v>
      </c>
      <c r="T658" s="304">
        <f t="shared" ca="1" si="291"/>
        <v>29.226932999999988</v>
      </c>
      <c r="U658" s="311">
        <f t="shared" ca="1" si="292"/>
        <v>0</v>
      </c>
      <c r="V658" s="306">
        <f t="shared" ca="1" si="293"/>
        <v>1.2262399277577878</v>
      </c>
      <c r="W658" s="304">
        <f t="shared" ca="1" si="294"/>
        <v>27.768461798312387</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0.47252510763634348</v>
      </c>
      <c r="AH658" s="304">
        <f t="shared" ca="1" si="318"/>
        <v>-9.3204469817721236</v>
      </c>
    </row>
    <row r="659" spans="1:34" x14ac:dyDescent="0.2">
      <c r="A659" s="347">
        <f t="shared" ca="1" si="296"/>
        <v>1E-4</v>
      </c>
      <c r="B659" s="304">
        <f t="shared" ca="1" si="297"/>
        <v>36.813900000000672</v>
      </c>
      <c r="D659" s="306">
        <f t="shared" ca="1" si="298"/>
        <v>-0.54891636181451242</v>
      </c>
      <c r="E659" s="307">
        <f t="shared" ca="1" si="299"/>
        <v>-0.50571274649835019</v>
      </c>
      <c r="F659" s="304">
        <f t="shared" ca="1" si="300"/>
        <v>0.74636087400036266</v>
      </c>
      <c r="G659" s="306">
        <f t="shared" ca="1" si="301"/>
        <v>6.1932197592978309</v>
      </c>
      <c r="H659" s="307">
        <f t="shared" ca="1" si="302"/>
        <v>-104.97780383342334</v>
      </c>
      <c r="I659" s="304">
        <f t="shared" ca="1" si="303"/>
        <v>105.16033125031353</v>
      </c>
      <c r="J659" s="306">
        <f t="shared" ca="1" si="304"/>
        <v>745.87074281998321</v>
      </c>
      <c r="K659" s="307">
        <f t="shared" ca="1" si="305"/>
        <v>-10.127237014571795</v>
      </c>
      <c r="L659" s="304">
        <f t="shared" ca="1" si="290"/>
        <v>745.93949213349924</v>
      </c>
      <c r="M659" s="306">
        <f t="shared" ca="1" si="306"/>
        <v>-1.5118691117689886</v>
      </c>
      <c r="N659" s="304">
        <f t="shared" ca="1" si="307"/>
        <v>-86.623719280555591</v>
      </c>
      <c r="P659" s="310">
        <f t="shared" ca="1" si="308"/>
        <v>23</v>
      </c>
      <c r="Q659" s="304">
        <f t="shared" ca="1" si="309"/>
        <v>0</v>
      </c>
      <c r="R659" s="306">
        <f t="shared" ca="1" si="310"/>
        <v>0</v>
      </c>
      <c r="S659" s="307">
        <f t="shared" ca="1" si="311"/>
        <v>2.9792999999999985</v>
      </c>
      <c r="T659" s="304">
        <f t="shared" ca="1" si="291"/>
        <v>29.226932999999988</v>
      </c>
      <c r="U659" s="311">
        <f t="shared" ca="1" si="292"/>
        <v>0</v>
      </c>
      <c r="V659" s="306">
        <f t="shared" ca="1" si="293"/>
        <v>1.2262412150382289</v>
      </c>
      <c r="W659" s="304">
        <f t="shared" ca="1" si="294"/>
        <v>27.768515902997031</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0.47250726457263248</v>
      </c>
      <c r="AH659" s="304">
        <f t="shared" ca="1" si="318"/>
        <v>-9.3204651422523419</v>
      </c>
    </row>
    <row r="660" spans="1:34" x14ac:dyDescent="0.2">
      <c r="A660" s="347">
        <f t="shared" ca="1" si="296"/>
        <v>1E-4</v>
      </c>
      <c r="B660" s="304">
        <f t="shared" ca="1" si="297"/>
        <v>36.814000000000675</v>
      </c>
      <c r="D660" s="306">
        <f t="shared" ca="1" si="298"/>
        <v>-0.54891231958517428</v>
      </c>
      <c r="E660" s="307">
        <f t="shared" ca="1" si="299"/>
        <v>-0.50569431624769656</v>
      </c>
      <c r="F660" s="304">
        <f t="shared" ca="1" si="300"/>
        <v>0.74634541338283966</v>
      </c>
      <c r="G660" s="306">
        <f t="shared" ca="1" si="301"/>
        <v>6.193164868065872</v>
      </c>
      <c r="H660" s="307">
        <f t="shared" ca="1" si="302"/>
        <v>-104.97785440285496</v>
      </c>
      <c r="I660" s="304">
        <f t="shared" ca="1" si="303"/>
        <v>105.16037849927157</v>
      </c>
      <c r="J660" s="306">
        <f t="shared" ca="1" si="304"/>
        <v>745.87074281998321</v>
      </c>
      <c r="K660" s="307">
        <f t="shared" ca="1" si="305"/>
        <v>-10.13773479748361</v>
      </c>
      <c r="L660" s="304">
        <f t="shared" ca="1" si="290"/>
        <v>745.93963473035649</v>
      </c>
      <c r="M660" s="306">
        <f t="shared" ca="1" si="306"/>
        <v>-1.5118696611598259</v>
      </c>
      <c r="N660" s="304">
        <f t="shared" ca="1" si="307"/>
        <v>-86.623750758331866</v>
      </c>
      <c r="P660" s="310">
        <f t="shared" ca="1" si="308"/>
        <v>23</v>
      </c>
      <c r="Q660" s="304">
        <f t="shared" ca="1" si="309"/>
        <v>0</v>
      </c>
      <c r="R660" s="306">
        <f t="shared" ca="1" si="310"/>
        <v>0</v>
      </c>
      <c r="S660" s="307">
        <f t="shared" ca="1" si="311"/>
        <v>2.9792999999999985</v>
      </c>
      <c r="T660" s="304">
        <f t="shared" ca="1" si="291"/>
        <v>29.226932999999988</v>
      </c>
      <c r="U660" s="311">
        <f t="shared" ca="1" si="292"/>
        <v>0</v>
      </c>
      <c r="V660" s="306">
        <f t="shared" ca="1" si="293"/>
        <v>1.2262425023206427</v>
      </c>
      <c r="W660" s="304">
        <f t="shared" ca="1" si="294"/>
        <v>27.768570006847636</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0.47248942178282327</v>
      </c>
      <c r="AH660" s="304">
        <f t="shared" ca="1" si="318"/>
        <v>-9.3204833024526046</v>
      </c>
    </row>
    <row r="661" spans="1:34" x14ac:dyDescent="0.2">
      <c r="A661" s="347">
        <f t="shared" ca="1" si="296"/>
        <v>1E-4</v>
      </c>
      <c r="B661" s="304">
        <f t="shared" ca="1" si="297"/>
        <v>36.814100000000678</v>
      </c>
      <c r="D661" s="306">
        <f t="shared" ca="1" si="298"/>
        <v>-0.5489082773691657</v>
      </c>
      <c r="E661" s="307">
        <f t="shared" ca="1" si="299"/>
        <v>-0.50567588628107885</v>
      </c>
      <c r="F661" s="304">
        <f t="shared" ca="1" si="300"/>
        <v>0.74632995312431316</v>
      </c>
      <c r="G661" s="306">
        <f t="shared" ca="1" si="301"/>
        <v>6.1931099772381346</v>
      </c>
      <c r="H661" s="307">
        <f t="shared" ca="1" si="302"/>
        <v>-104.97790497044359</v>
      </c>
      <c r="I661" s="304">
        <f t="shared" ca="1" si="303"/>
        <v>105.16042574644537</v>
      </c>
      <c r="J661" s="306">
        <f t="shared" ca="1" si="304"/>
        <v>745.87074281998321</v>
      </c>
      <c r="K661" s="307">
        <f t="shared" ca="1" si="305"/>
        <v>-10.148232585452275</v>
      </c>
      <c r="L661" s="304">
        <f t="shared" ca="1" si="290"/>
        <v>745.93977747499287</v>
      </c>
      <c r="M661" s="306">
        <f t="shared" ca="1" si="306"/>
        <v>-1.5118702105453004</v>
      </c>
      <c r="N661" s="304">
        <f t="shared" ca="1" si="307"/>
        <v>-86.623782235800874</v>
      </c>
      <c r="P661" s="310">
        <f t="shared" ca="1" si="308"/>
        <v>23</v>
      </c>
      <c r="Q661" s="304">
        <f t="shared" ca="1" si="309"/>
        <v>0</v>
      </c>
      <c r="R661" s="306">
        <f t="shared" ca="1" si="310"/>
        <v>0</v>
      </c>
      <c r="S661" s="307">
        <f t="shared" ca="1" si="311"/>
        <v>2.9792999999999985</v>
      </c>
      <c r="T661" s="304">
        <f t="shared" ca="1" si="291"/>
        <v>29.226932999999988</v>
      </c>
      <c r="U661" s="311">
        <f t="shared" ca="1" si="292"/>
        <v>0</v>
      </c>
      <c r="V661" s="306">
        <f t="shared" ca="1" si="293"/>
        <v>1.226243789605028</v>
      </c>
      <c r="W661" s="304">
        <f t="shared" ca="1" si="294"/>
        <v>27.768624109864191</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0.47247157926690697</v>
      </c>
      <c r="AH661" s="304">
        <f t="shared" ca="1" si="318"/>
        <v>-9.3205014623729223</v>
      </c>
    </row>
    <row r="662" spans="1:34" x14ac:dyDescent="0.2">
      <c r="A662" s="347">
        <f t="shared" ca="1" si="296"/>
        <v>1E-4</v>
      </c>
      <c r="B662" s="304">
        <f t="shared" ca="1" si="297"/>
        <v>36.814200000000682</v>
      </c>
      <c r="D662" s="306">
        <f t="shared" ca="1" si="298"/>
        <v>-0.54890423516648312</v>
      </c>
      <c r="E662" s="307">
        <f t="shared" ca="1" si="299"/>
        <v>-0.50565745659849881</v>
      </c>
      <c r="F662" s="304">
        <f t="shared" ca="1" si="300"/>
        <v>0.74631449322478283</v>
      </c>
      <c r="G662" s="306">
        <f t="shared" ca="1" si="301"/>
        <v>6.1930550868146179</v>
      </c>
      <c r="H662" s="307">
        <f t="shared" ca="1" si="302"/>
        <v>-104.97795553618924</v>
      </c>
      <c r="I662" s="304">
        <f t="shared" ca="1" si="303"/>
        <v>105.16047299183494</v>
      </c>
      <c r="J662" s="306">
        <f t="shared" ca="1" si="304"/>
        <v>745.87074281998321</v>
      </c>
      <c r="K662" s="307">
        <f t="shared" ca="1" si="305"/>
        <v>-10.158730378477607</v>
      </c>
      <c r="L662" s="304">
        <f t="shared" ca="1" si="290"/>
        <v>745.93992036740883</v>
      </c>
      <c r="M662" s="306">
        <f t="shared" ca="1" si="306"/>
        <v>-1.5118707599254118</v>
      </c>
      <c r="N662" s="304">
        <f t="shared" ca="1" si="307"/>
        <v>-86.623813712962615</v>
      </c>
      <c r="P662" s="310">
        <f t="shared" ca="1" si="308"/>
        <v>23</v>
      </c>
      <c r="Q662" s="304">
        <f t="shared" ca="1" si="309"/>
        <v>0</v>
      </c>
      <c r="R662" s="306">
        <f t="shared" ca="1" si="310"/>
        <v>0</v>
      </c>
      <c r="S662" s="307">
        <f t="shared" ca="1" si="311"/>
        <v>2.9792999999999985</v>
      </c>
      <c r="T662" s="304">
        <f t="shared" ca="1" si="291"/>
        <v>29.226932999999988</v>
      </c>
      <c r="U662" s="311">
        <f t="shared" ca="1" si="292"/>
        <v>0</v>
      </c>
      <c r="V662" s="306">
        <f t="shared" ca="1" si="293"/>
        <v>1.2262450768913853</v>
      </c>
      <c r="W662" s="304">
        <f t="shared" ca="1" si="294"/>
        <v>27.768678212046723</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0.4724537370248818</v>
      </c>
      <c r="AH662" s="304">
        <f t="shared" ca="1" si="318"/>
        <v>-9.3205196220132933</v>
      </c>
    </row>
    <row r="663" spans="1:34" x14ac:dyDescent="0.2">
      <c r="A663" s="347">
        <f t="shared" ca="1" si="296"/>
        <v>1E-4</v>
      </c>
      <c r="B663" s="304">
        <f t="shared" ca="1" si="297"/>
        <v>36.814300000000685</v>
      </c>
      <c r="D663" s="306">
        <f t="shared" ca="1" si="298"/>
        <v>-0.54890019297712989</v>
      </c>
      <c r="E663" s="307">
        <f t="shared" ca="1" si="299"/>
        <v>-0.50563902719994935</v>
      </c>
      <c r="F663" s="304">
        <f t="shared" ca="1" si="300"/>
        <v>0.74629903368424755</v>
      </c>
      <c r="G663" s="306">
        <f t="shared" ca="1" si="301"/>
        <v>6.1930001967953201</v>
      </c>
      <c r="H663" s="307">
        <f t="shared" ca="1" si="302"/>
        <v>-104.97800610009196</v>
      </c>
      <c r="I663" s="304">
        <f t="shared" ca="1" si="303"/>
        <v>105.16052023544032</v>
      </c>
      <c r="J663" s="306">
        <f t="shared" ca="1" si="304"/>
        <v>745.87074281998321</v>
      </c>
      <c r="K663" s="307">
        <f t="shared" ca="1" si="305"/>
        <v>-10.169228176559422</v>
      </c>
      <c r="L663" s="304">
        <f t="shared" ca="1" si="290"/>
        <v>745.94006340760416</v>
      </c>
      <c r="M663" s="306">
        <f t="shared" ca="1" si="306"/>
        <v>-1.5118713093001603</v>
      </c>
      <c r="N663" s="304">
        <f t="shared" ca="1" si="307"/>
        <v>-86.623845189817075</v>
      </c>
      <c r="P663" s="310">
        <f t="shared" ca="1" si="308"/>
        <v>23</v>
      </c>
      <c r="Q663" s="304">
        <f t="shared" ca="1" si="309"/>
        <v>0</v>
      </c>
      <c r="R663" s="306">
        <f t="shared" ca="1" si="310"/>
        <v>0</v>
      </c>
      <c r="S663" s="307">
        <f t="shared" ca="1" si="311"/>
        <v>2.9792999999999985</v>
      </c>
      <c r="T663" s="304">
        <f t="shared" ca="1" si="291"/>
        <v>29.226932999999988</v>
      </c>
      <c r="U663" s="311">
        <f t="shared" ca="1" si="292"/>
        <v>0</v>
      </c>
      <c r="V663" s="306">
        <f t="shared" ca="1" si="293"/>
        <v>1.2262463641797157</v>
      </c>
      <c r="W663" s="304">
        <f t="shared" ca="1" si="294"/>
        <v>27.768732313395258</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0.47243589505674066</v>
      </c>
      <c r="AH663" s="304">
        <f t="shared" ca="1" si="318"/>
        <v>-9.3205377813737247</v>
      </c>
    </row>
    <row r="664" spans="1:34" x14ac:dyDescent="0.2">
      <c r="A664" s="347">
        <f t="shared" ca="1" si="296"/>
        <v>1E-4</v>
      </c>
      <c r="B664" s="304">
        <f t="shared" ca="1" si="297"/>
        <v>36.814400000000688</v>
      </c>
      <c r="D664" s="306">
        <f t="shared" ca="1" si="298"/>
        <v>-0.54889615080110521</v>
      </c>
      <c r="E664" s="307">
        <f t="shared" ca="1" si="299"/>
        <v>-0.50562059808542159</v>
      </c>
      <c r="F664" s="304">
        <f t="shared" ca="1" si="300"/>
        <v>0.74628357450270144</v>
      </c>
      <c r="G664" s="306">
        <f t="shared" ca="1" si="301"/>
        <v>6.1929453071802403</v>
      </c>
      <c r="H664" s="307">
        <f t="shared" ca="1" si="302"/>
        <v>-104.97805666215177</v>
      </c>
      <c r="I664" s="304">
        <f t="shared" ca="1" si="303"/>
        <v>105.16056747726152</v>
      </c>
      <c r="J664" s="306">
        <f t="shared" ca="1" si="304"/>
        <v>745.87074281998321</v>
      </c>
      <c r="K664" s="307">
        <f t="shared" ca="1" si="305"/>
        <v>-10.179725979697533</v>
      </c>
      <c r="L664" s="304">
        <f t="shared" ca="1" si="290"/>
        <v>745.94020659557918</v>
      </c>
      <c r="M664" s="306">
        <f t="shared" ca="1" si="306"/>
        <v>-1.5118718586695463</v>
      </c>
      <c r="N664" s="304">
        <f t="shared" ca="1" si="307"/>
        <v>-86.623876666364282</v>
      </c>
      <c r="P664" s="310">
        <f t="shared" ca="1" si="308"/>
        <v>23</v>
      </c>
      <c r="Q664" s="304">
        <f t="shared" ca="1" si="309"/>
        <v>0</v>
      </c>
      <c r="R664" s="306">
        <f t="shared" ca="1" si="310"/>
        <v>0</v>
      </c>
      <c r="S664" s="307">
        <f t="shared" ca="1" si="311"/>
        <v>2.9792999999999985</v>
      </c>
      <c r="T664" s="304">
        <f t="shared" ca="1" si="291"/>
        <v>29.226932999999988</v>
      </c>
      <c r="U664" s="311">
        <f t="shared" ca="1" si="292"/>
        <v>0</v>
      </c>
      <c r="V664" s="306">
        <f t="shared" ca="1" si="293"/>
        <v>1.2262476514700174</v>
      </c>
      <c r="W664" s="304">
        <f t="shared" ca="1" si="294"/>
        <v>27.768786413909773</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0.47241805336247822</v>
      </c>
      <c r="AH664" s="304">
        <f t="shared" ca="1" si="318"/>
        <v>-9.3205559404542253</v>
      </c>
    </row>
    <row r="665" spans="1:34" x14ac:dyDescent="0.2">
      <c r="A665" s="347">
        <f t="shared" ca="1" si="296"/>
        <v>1E-4</v>
      </c>
      <c r="B665" s="304">
        <f t="shared" ca="1" si="297"/>
        <v>36.814500000000692</v>
      </c>
      <c r="D665" s="306">
        <f t="shared" ca="1" si="298"/>
        <v>-0.54889210863840709</v>
      </c>
      <c r="E665" s="307">
        <f t="shared" ca="1" si="299"/>
        <v>-0.50560216925492618</v>
      </c>
      <c r="F665" s="304">
        <f t="shared" ca="1" si="300"/>
        <v>0.74626811568015139</v>
      </c>
      <c r="G665" s="306">
        <f t="shared" ca="1" si="301"/>
        <v>6.1928904179693767</v>
      </c>
      <c r="H665" s="307">
        <f t="shared" ca="1" si="302"/>
        <v>-104.97810722236869</v>
      </c>
      <c r="I665" s="304">
        <f t="shared" ca="1" si="303"/>
        <v>105.16061471729859</v>
      </c>
      <c r="J665" s="306">
        <f t="shared" ca="1" si="304"/>
        <v>745.87074281998321</v>
      </c>
      <c r="K665" s="307">
        <f t="shared" ca="1" si="305"/>
        <v>-10.190223787891759</v>
      </c>
      <c r="L665" s="304">
        <f t="shared" ca="1" si="290"/>
        <v>745.9403499313338</v>
      </c>
      <c r="M665" s="306">
        <f t="shared" ca="1" si="306"/>
        <v>-1.5118724080335693</v>
      </c>
      <c r="N665" s="304">
        <f t="shared" ca="1" si="307"/>
        <v>-86.623908142604222</v>
      </c>
      <c r="P665" s="310">
        <f t="shared" ca="1" si="308"/>
        <v>23</v>
      </c>
      <c r="Q665" s="304">
        <f t="shared" ca="1" si="309"/>
        <v>0</v>
      </c>
      <c r="R665" s="306">
        <f t="shared" ca="1" si="310"/>
        <v>0</v>
      </c>
      <c r="S665" s="307">
        <f t="shared" ca="1" si="311"/>
        <v>2.9792999999999985</v>
      </c>
      <c r="T665" s="304">
        <f t="shared" ca="1" si="291"/>
        <v>29.226932999999988</v>
      </c>
      <c r="U665" s="311">
        <f t="shared" ca="1" si="292"/>
        <v>0</v>
      </c>
      <c r="V665" s="306">
        <f t="shared" ca="1" si="293"/>
        <v>1.2262489387622912</v>
      </c>
      <c r="W665" s="304">
        <f t="shared" ca="1" si="294"/>
        <v>27.768840513590288</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0.47240021194210158</v>
      </c>
      <c r="AH665" s="304">
        <f t="shared" ca="1" si="318"/>
        <v>-9.3205740992547863</v>
      </c>
    </row>
    <row r="666" spans="1:34" x14ac:dyDescent="0.2">
      <c r="A666" s="347">
        <f t="shared" ca="1" si="296"/>
        <v>1E-4</v>
      </c>
      <c r="B666" s="304">
        <f t="shared" ca="1" si="297"/>
        <v>36.814600000000695</v>
      </c>
      <c r="D666" s="306">
        <f t="shared" ca="1" si="298"/>
        <v>-0.54888806648904132</v>
      </c>
      <c r="E666" s="307">
        <f t="shared" ca="1" si="299"/>
        <v>-0.50558374070844891</v>
      </c>
      <c r="F666" s="304">
        <f t="shared" ca="1" si="300"/>
        <v>0.7462526572165934</v>
      </c>
      <c r="G666" s="306">
        <f t="shared" ca="1" si="301"/>
        <v>6.1928355291627275</v>
      </c>
      <c r="H666" s="307">
        <f t="shared" ca="1" si="302"/>
        <v>-104.97815778074276</v>
      </c>
      <c r="I666" s="304">
        <f t="shared" ca="1" si="303"/>
        <v>105.16066195555153</v>
      </c>
      <c r="J666" s="306">
        <f t="shared" ca="1" si="304"/>
        <v>745.87074281998321</v>
      </c>
      <c r="K666" s="307">
        <f t="shared" ca="1" si="305"/>
        <v>-10.200721601141915</v>
      </c>
      <c r="L666" s="304">
        <f t="shared" ca="1" si="290"/>
        <v>745.94049341486846</v>
      </c>
      <c r="M666" s="306">
        <f t="shared" ca="1" si="306"/>
        <v>-1.5118729573922298</v>
      </c>
      <c r="N666" s="304">
        <f t="shared" ca="1" si="307"/>
        <v>-86.623939618536909</v>
      </c>
      <c r="P666" s="310">
        <f t="shared" ca="1" si="308"/>
        <v>23</v>
      </c>
      <c r="Q666" s="304">
        <f t="shared" ca="1" si="309"/>
        <v>0</v>
      </c>
      <c r="R666" s="306">
        <f t="shared" ca="1" si="310"/>
        <v>0</v>
      </c>
      <c r="S666" s="307">
        <f t="shared" ca="1" si="311"/>
        <v>2.9792999999999985</v>
      </c>
      <c r="T666" s="304">
        <f t="shared" ca="1" si="291"/>
        <v>29.226932999999988</v>
      </c>
      <c r="U666" s="311">
        <f t="shared" ca="1" si="292"/>
        <v>0</v>
      </c>
      <c r="V666" s="306">
        <f t="shared" ca="1" si="293"/>
        <v>1.2262502260565369</v>
      </c>
      <c r="W666" s="304">
        <f t="shared" ca="1" si="294"/>
        <v>27.768894612436814</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0.47238237079559831</v>
      </c>
      <c r="AH666" s="304">
        <f t="shared" ca="1" si="318"/>
        <v>-9.3205922577754183</v>
      </c>
    </row>
    <row r="667" spans="1:34" x14ac:dyDescent="0.2">
      <c r="A667" s="347">
        <f t="shared" ca="1" si="296"/>
        <v>1E-4</v>
      </c>
      <c r="B667" s="304">
        <f t="shared" ca="1" si="297"/>
        <v>36.814700000000698</v>
      </c>
      <c r="D667" s="306">
        <f t="shared" ca="1" si="298"/>
        <v>-0.5488840243530021</v>
      </c>
      <c r="E667" s="307">
        <f t="shared" ca="1" si="299"/>
        <v>-0.50556531244599334</v>
      </c>
      <c r="F667" s="304">
        <f t="shared" ca="1" si="300"/>
        <v>0.74623719911202624</v>
      </c>
      <c r="G667" s="306">
        <f t="shared" ca="1" si="301"/>
        <v>6.1927806407602919</v>
      </c>
      <c r="H667" s="307">
        <f t="shared" ca="1" si="302"/>
        <v>-104.97820833727401</v>
      </c>
      <c r="I667" s="304">
        <f t="shared" ca="1" si="303"/>
        <v>105.16070919202039</v>
      </c>
      <c r="J667" s="306">
        <f t="shared" ca="1" si="304"/>
        <v>745.87074281998321</v>
      </c>
      <c r="K667" s="307">
        <f t="shared" ca="1" si="305"/>
        <v>-10.211219419447815</v>
      </c>
      <c r="L667" s="304">
        <f t="shared" ca="1" si="290"/>
        <v>745.94063704618327</v>
      </c>
      <c r="M667" s="306">
        <f t="shared" ca="1" si="306"/>
        <v>-1.5118735067455276</v>
      </c>
      <c r="N667" s="304">
        <f t="shared" ca="1" si="307"/>
        <v>-86.623971094162329</v>
      </c>
      <c r="P667" s="310">
        <f t="shared" ca="1" si="308"/>
        <v>23</v>
      </c>
      <c r="Q667" s="304">
        <f t="shared" ca="1" si="309"/>
        <v>0</v>
      </c>
      <c r="R667" s="306">
        <f t="shared" ca="1" si="310"/>
        <v>0</v>
      </c>
      <c r="S667" s="307">
        <f t="shared" ca="1" si="311"/>
        <v>2.9792999999999985</v>
      </c>
      <c r="T667" s="304">
        <f t="shared" ca="1" si="291"/>
        <v>29.226932999999988</v>
      </c>
      <c r="U667" s="311">
        <f t="shared" ca="1" si="292"/>
        <v>0</v>
      </c>
      <c r="V667" s="306">
        <f t="shared" ca="1" si="293"/>
        <v>1.226251513352755</v>
      </c>
      <c r="W667" s="304">
        <f t="shared" ca="1" si="294"/>
        <v>27.768948710449369</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0.47236452992297373</v>
      </c>
      <c r="AH667" s="304">
        <f t="shared" ca="1" si="318"/>
        <v>-9.3206104160161196</v>
      </c>
    </row>
    <row r="668" spans="1:34" x14ac:dyDescent="0.2">
      <c r="A668" s="347">
        <f t="shared" ca="1" si="296"/>
        <v>1E-4</v>
      </c>
      <c r="B668" s="304">
        <f t="shared" ca="1" si="297"/>
        <v>36.814800000000702</v>
      </c>
      <c r="D668" s="306">
        <f t="shared" ca="1" si="298"/>
        <v>-0.54887998223029522</v>
      </c>
      <c r="E668" s="307">
        <f t="shared" ca="1" si="299"/>
        <v>-0.50554688446754881</v>
      </c>
      <c r="F668" s="304">
        <f t="shared" ca="1" si="300"/>
        <v>0.74622174136644825</v>
      </c>
      <c r="G668" s="306">
        <f t="shared" ca="1" si="301"/>
        <v>6.1927257527620689</v>
      </c>
      <c r="H668" s="307">
        <f t="shared" ca="1" si="302"/>
        <v>-104.97825889196245</v>
      </c>
      <c r="I668" s="304">
        <f t="shared" ca="1" si="303"/>
        <v>105.16075642670519</v>
      </c>
      <c r="J668" s="306">
        <f t="shared" ca="1" si="304"/>
        <v>745.87074281998321</v>
      </c>
      <c r="K668" s="307">
        <f t="shared" ca="1" si="305"/>
        <v>-10.221717242809277</v>
      </c>
      <c r="L668" s="304">
        <f t="shared" ca="1" si="290"/>
        <v>745.94078082527801</v>
      </c>
      <c r="M668" s="306">
        <f t="shared" ca="1" si="306"/>
        <v>-1.5118740560934629</v>
      </c>
      <c r="N668" s="304">
        <f t="shared" ca="1" si="307"/>
        <v>-86.62400256948051</v>
      </c>
      <c r="P668" s="310">
        <f t="shared" ca="1" si="308"/>
        <v>23</v>
      </c>
      <c r="Q668" s="304">
        <f t="shared" ca="1" si="309"/>
        <v>0</v>
      </c>
      <c r="R668" s="306">
        <f t="shared" ca="1" si="310"/>
        <v>0</v>
      </c>
      <c r="S668" s="307">
        <f t="shared" ca="1" si="311"/>
        <v>2.9792999999999985</v>
      </c>
      <c r="T668" s="304">
        <f t="shared" ca="1" si="291"/>
        <v>29.226932999999988</v>
      </c>
      <c r="U668" s="311">
        <f t="shared" ca="1" si="292"/>
        <v>0</v>
      </c>
      <c r="V668" s="306">
        <f t="shared" ca="1" si="293"/>
        <v>1.2262528006509452</v>
      </c>
      <c r="W668" s="304">
        <f t="shared" ca="1" si="294"/>
        <v>27.769002807627963</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0.47234668932421719</v>
      </c>
      <c r="AH668" s="304">
        <f t="shared" ca="1" si="318"/>
        <v>-9.3206285739769008</v>
      </c>
    </row>
    <row r="669" spans="1:34" x14ac:dyDescent="0.2">
      <c r="A669" s="347">
        <f t="shared" ca="1" si="296"/>
        <v>1E-4</v>
      </c>
      <c r="B669" s="304">
        <f t="shared" ca="1" si="297"/>
        <v>36.814900000000705</v>
      </c>
      <c r="D669" s="306">
        <f t="shared" ca="1" si="298"/>
        <v>-0.54887594012091712</v>
      </c>
      <c r="E669" s="307">
        <f t="shared" ca="1" si="299"/>
        <v>-0.50552845677311353</v>
      </c>
      <c r="F669" s="304">
        <f t="shared" ca="1" si="300"/>
        <v>0.74620628397985655</v>
      </c>
      <c r="G669" s="306">
        <f t="shared" ca="1" si="301"/>
        <v>6.1926708651680569</v>
      </c>
      <c r="H669" s="307">
        <f t="shared" ca="1" si="302"/>
        <v>-104.97830944480813</v>
      </c>
      <c r="I669" s="304">
        <f t="shared" ca="1" si="303"/>
        <v>105.16080365960595</v>
      </c>
      <c r="J669" s="306">
        <f t="shared" ca="1" si="304"/>
        <v>745.87074281998321</v>
      </c>
      <c r="K669" s="307">
        <f t="shared" ca="1" si="305"/>
        <v>-10.232215071226115</v>
      </c>
      <c r="L669" s="304">
        <f t="shared" ca="1" si="290"/>
        <v>745.94092475215314</v>
      </c>
      <c r="M669" s="306">
        <f t="shared" ca="1" si="306"/>
        <v>-1.5118746054360357</v>
      </c>
      <c r="N669" s="304">
        <f t="shared" ca="1" si="307"/>
        <v>-86.624034044491438</v>
      </c>
      <c r="P669" s="310">
        <f t="shared" ca="1" si="308"/>
        <v>23</v>
      </c>
      <c r="Q669" s="304">
        <f t="shared" ca="1" si="309"/>
        <v>0</v>
      </c>
      <c r="R669" s="306">
        <f t="shared" ca="1" si="310"/>
        <v>0</v>
      </c>
      <c r="S669" s="307">
        <f t="shared" ca="1" si="311"/>
        <v>2.9792999999999985</v>
      </c>
      <c r="T669" s="304">
        <f t="shared" ca="1" si="291"/>
        <v>29.226932999999988</v>
      </c>
      <c r="U669" s="311">
        <f t="shared" ca="1" si="292"/>
        <v>0</v>
      </c>
      <c r="V669" s="306">
        <f t="shared" ca="1" si="293"/>
        <v>1.2262540879511068</v>
      </c>
      <c r="W669" s="304">
        <f t="shared" ca="1" si="294"/>
        <v>27.769056903972579</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0.47232884899932337</v>
      </c>
      <c r="AH669" s="304">
        <f t="shared" ca="1" si="318"/>
        <v>-9.3206467316577637</v>
      </c>
    </row>
    <row r="670" spans="1:34" x14ac:dyDescent="0.2">
      <c r="A670" s="347">
        <f t="shared" ca="1" si="296"/>
        <v>1E-4</v>
      </c>
      <c r="B670" s="304">
        <f t="shared" ca="1" si="297"/>
        <v>36.815000000000708</v>
      </c>
      <c r="D670" s="306">
        <f t="shared" ca="1" si="298"/>
        <v>-0.54887189802487046</v>
      </c>
      <c r="E670" s="307">
        <f t="shared" ca="1" si="299"/>
        <v>-0.50551002936269285</v>
      </c>
      <c r="F670" s="304">
        <f t="shared" ca="1" si="300"/>
        <v>0.7461908269522578</v>
      </c>
      <c r="G670" s="306">
        <f t="shared" ca="1" si="301"/>
        <v>6.1926159779782548</v>
      </c>
      <c r="H670" s="307">
        <f t="shared" ca="1" si="302"/>
        <v>-104.97835999581108</v>
      </c>
      <c r="I670" s="304">
        <f t="shared" ca="1" si="303"/>
        <v>105.16085089072273</v>
      </c>
      <c r="J670" s="306">
        <f t="shared" ca="1" si="304"/>
        <v>745.87074281998321</v>
      </c>
      <c r="K670" s="307">
        <f t="shared" ca="1" si="305"/>
        <v>-10.242712904698147</v>
      </c>
      <c r="L670" s="304">
        <f t="shared" ca="1" si="290"/>
        <v>745.94106882680853</v>
      </c>
      <c r="M670" s="306">
        <f t="shared" ca="1" si="306"/>
        <v>-1.5118751547732461</v>
      </c>
      <c r="N670" s="304">
        <f t="shared" ca="1" si="307"/>
        <v>-86.624065519195113</v>
      </c>
      <c r="P670" s="310">
        <f t="shared" ca="1" si="308"/>
        <v>23</v>
      </c>
      <c r="Q670" s="304">
        <f t="shared" ca="1" si="309"/>
        <v>0</v>
      </c>
      <c r="R670" s="306">
        <f t="shared" ca="1" si="310"/>
        <v>0</v>
      </c>
      <c r="S670" s="307">
        <f t="shared" ca="1" si="311"/>
        <v>2.9792999999999985</v>
      </c>
      <c r="T670" s="304">
        <f t="shared" ca="1" si="291"/>
        <v>29.226932999999988</v>
      </c>
      <c r="U670" s="311">
        <f t="shared" ca="1" si="292"/>
        <v>0</v>
      </c>
      <c r="V670" s="306">
        <f t="shared" ca="1" si="293"/>
        <v>1.226255375253241</v>
      </c>
      <c r="W670" s="304">
        <f t="shared" ca="1" si="294"/>
        <v>27.769110999483281</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0.47231100894830114</v>
      </c>
      <c r="AH670" s="304">
        <f t="shared" ca="1" si="318"/>
        <v>-9.3206648890587029</v>
      </c>
    </row>
    <row r="671" spans="1:34" x14ac:dyDescent="0.2">
      <c r="A671" s="347">
        <f t="shared" ca="1" si="296"/>
        <v>1E-4</v>
      </c>
      <c r="B671" s="304">
        <f t="shared" ca="1" si="297"/>
        <v>36.815100000000712</v>
      </c>
      <c r="D671" s="306">
        <f t="shared" ca="1" si="298"/>
        <v>-0.54886785594215504</v>
      </c>
      <c r="E671" s="307">
        <f t="shared" ca="1" si="299"/>
        <v>-0.50549160223626544</v>
      </c>
      <c r="F671" s="304">
        <f t="shared" ca="1" si="300"/>
        <v>0.74617537028363856</v>
      </c>
      <c r="G671" s="306">
        <f t="shared" ca="1" si="301"/>
        <v>6.192561091192661</v>
      </c>
      <c r="H671" s="307">
        <f t="shared" ca="1" si="302"/>
        <v>-104.9784105449713</v>
      </c>
      <c r="I671" s="304">
        <f t="shared" ca="1" si="303"/>
        <v>105.16089812005551</v>
      </c>
      <c r="J671" s="306">
        <f t="shared" ca="1" si="304"/>
        <v>745.87074281998321</v>
      </c>
      <c r="K671" s="307">
        <f t="shared" ca="1" si="305"/>
        <v>-10.253210743225186</v>
      </c>
      <c r="L671" s="304">
        <f t="shared" ca="1" si="290"/>
        <v>745.94121304924465</v>
      </c>
      <c r="M671" s="306">
        <f t="shared" ca="1" si="306"/>
        <v>-1.5118757041050941</v>
      </c>
      <c r="N671" s="304">
        <f t="shared" ca="1" si="307"/>
        <v>-86.624096993591564</v>
      </c>
      <c r="P671" s="310">
        <f t="shared" ca="1" si="308"/>
        <v>23</v>
      </c>
      <c r="Q671" s="304">
        <f t="shared" ca="1" si="309"/>
        <v>0</v>
      </c>
      <c r="R671" s="306">
        <f t="shared" ca="1" si="310"/>
        <v>0</v>
      </c>
      <c r="S671" s="307">
        <f t="shared" ca="1" si="311"/>
        <v>2.9792999999999985</v>
      </c>
      <c r="T671" s="304">
        <f t="shared" ca="1" si="291"/>
        <v>29.226932999999988</v>
      </c>
      <c r="U671" s="311">
        <f t="shared" ca="1" si="292"/>
        <v>0</v>
      </c>
      <c r="V671" s="306">
        <f t="shared" ca="1" si="293"/>
        <v>1.2262566625573466</v>
      </c>
      <c r="W671" s="304">
        <f t="shared" ca="1" si="294"/>
        <v>27.769165094160016</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0.47229316917112918</v>
      </c>
      <c r="AH671" s="304">
        <f t="shared" ca="1" si="318"/>
        <v>-9.3206830461797381</v>
      </c>
    </row>
    <row r="672" spans="1:34" x14ac:dyDescent="0.2">
      <c r="A672" s="347">
        <f t="shared" ca="1" si="296"/>
        <v>1E-4</v>
      </c>
      <c r="B672" s="304">
        <f t="shared" ca="1" si="297"/>
        <v>36.815200000000715</v>
      </c>
      <c r="D672" s="306">
        <f t="shared" ca="1" si="298"/>
        <v>-0.54886381387277083</v>
      </c>
      <c r="E672" s="307">
        <f t="shared" ca="1" si="299"/>
        <v>-0.50547317539384906</v>
      </c>
      <c r="F672" s="304">
        <f t="shared" ca="1" si="300"/>
        <v>0.74615991397401171</v>
      </c>
      <c r="G672" s="306">
        <f t="shared" ca="1" si="301"/>
        <v>6.1925062048112736</v>
      </c>
      <c r="H672" s="307">
        <f t="shared" ca="1" si="302"/>
        <v>-104.97846109228884</v>
      </c>
      <c r="I672" s="304">
        <f t="shared" ca="1" si="303"/>
        <v>105.16094534760434</v>
      </c>
      <c r="J672" s="306">
        <f t="shared" ca="1" si="304"/>
        <v>745.87074281998321</v>
      </c>
      <c r="K672" s="307">
        <f t="shared" ca="1" si="305"/>
        <v>-10.263708586807049</v>
      </c>
      <c r="L672" s="304">
        <f t="shared" ca="1" si="290"/>
        <v>745.94135741946127</v>
      </c>
      <c r="M672" s="306">
        <f t="shared" ca="1" si="306"/>
        <v>-1.5118762534315799</v>
      </c>
      <c r="N672" s="304">
        <f t="shared" ca="1" si="307"/>
        <v>-86.624128467680777</v>
      </c>
      <c r="P672" s="310">
        <f t="shared" ca="1" si="308"/>
        <v>23</v>
      </c>
      <c r="Q672" s="304">
        <f t="shared" ca="1" si="309"/>
        <v>0</v>
      </c>
      <c r="R672" s="306">
        <f t="shared" ca="1" si="310"/>
        <v>0</v>
      </c>
      <c r="S672" s="307">
        <f t="shared" ca="1" si="311"/>
        <v>2.9792999999999985</v>
      </c>
      <c r="T672" s="304">
        <f t="shared" ca="1" si="291"/>
        <v>29.226932999999988</v>
      </c>
      <c r="U672" s="311">
        <f t="shared" ca="1" si="292"/>
        <v>0</v>
      </c>
      <c r="V672" s="306">
        <f t="shared" ca="1" si="293"/>
        <v>1.2262579498634247</v>
      </c>
      <c r="W672" s="304">
        <f t="shared" ca="1" si="294"/>
        <v>27.769219188002847</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0.47227532966782526</v>
      </c>
      <c r="AH672" s="304">
        <f t="shared" ca="1" si="318"/>
        <v>-9.3207012030208531</v>
      </c>
    </row>
    <row r="673" spans="1:34" x14ac:dyDescent="0.2">
      <c r="A673" s="347">
        <f t="shared" ca="1" si="296"/>
        <v>1E-4</v>
      </c>
      <c r="B673" s="304">
        <f t="shared" ca="1" si="297"/>
        <v>36.815300000000718</v>
      </c>
      <c r="D673" s="306">
        <f t="shared" ca="1" si="298"/>
        <v>-0.54885977181671752</v>
      </c>
      <c r="E673" s="307">
        <f t="shared" ca="1" si="299"/>
        <v>-0.50545474883542241</v>
      </c>
      <c r="F673" s="304">
        <f t="shared" ca="1" si="300"/>
        <v>0.7461444580233636</v>
      </c>
      <c r="G673" s="306">
        <f t="shared" ca="1" si="301"/>
        <v>6.1924513188340917</v>
      </c>
      <c r="H673" s="307">
        <f t="shared" ca="1" si="302"/>
        <v>-104.97851163776372</v>
      </c>
      <c r="I673" s="304">
        <f t="shared" ca="1" si="303"/>
        <v>105.16099257336924</v>
      </c>
      <c r="J673" s="306">
        <f t="shared" ca="1" si="304"/>
        <v>745.87074281998321</v>
      </c>
      <c r="K673" s="307">
        <f t="shared" ca="1" si="305"/>
        <v>-10.274206435443551</v>
      </c>
      <c r="L673" s="304">
        <f t="shared" ca="1" si="290"/>
        <v>745.94150193745861</v>
      </c>
      <c r="M673" s="306">
        <f t="shared" ca="1" si="306"/>
        <v>-1.5118768027527034</v>
      </c>
      <c r="N673" s="304">
        <f t="shared" ca="1" si="307"/>
        <v>-86.62415994146275</v>
      </c>
      <c r="P673" s="310">
        <f t="shared" ca="1" si="308"/>
        <v>23</v>
      </c>
      <c r="Q673" s="304">
        <f t="shared" ca="1" si="309"/>
        <v>0</v>
      </c>
      <c r="R673" s="306">
        <f t="shared" ca="1" si="310"/>
        <v>0</v>
      </c>
      <c r="S673" s="307">
        <f t="shared" ca="1" si="311"/>
        <v>2.9792999999999985</v>
      </c>
      <c r="T673" s="304">
        <f t="shared" ca="1" si="291"/>
        <v>29.226932999999988</v>
      </c>
      <c r="U673" s="311">
        <f t="shared" ca="1" si="292"/>
        <v>0</v>
      </c>
      <c r="V673" s="306">
        <f t="shared" ca="1" si="293"/>
        <v>1.2262592371714744</v>
      </c>
      <c r="W673" s="304">
        <f t="shared" ca="1" si="294"/>
        <v>27.769273281011749</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0.47225749043836807</v>
      </c>
      <c r="AH673" s="304">
        <f t="shared" ca="1" si="318"/>
        <v>-9.3207193595820694</v>
      </c>
    </row>
    <row r="674" spans="1:34" x14ac:dyDescent="0.2">
      <c r="A674" s="347">
        <f t="shared" ca="1" si="296"/>
        <v>1E-4</v>
      </c>
      <c r="B674" s="304">
        <f t="shared" ca="1" si="297"/>
        <v>36.815400000000722</v>
      </c>
      <c r="D674" s="306">
        <f t="shared" ca="1" si="298"/>
        <v>-0.54885572977399755</v>
      </c>
      <c r="E674" s="307">
        <f t="shared" ca="1" si="299"/>
        <v>-0.50543632256099436</v>
      </c>
      <c r="F674" s="304">
        <f t="shared" ca="1" si="300"/>
        <v>0.74612900243170344</v>
      </c>
      <c r="G674" s="306">
        <f t="shared" ca="1" si="301"/>
        <v>6.1923964332611146</v>
      </c>
      <c r="H674" s="307">
        <f t="shared" ca="1" si="302"/>
        <v>-104.97856218139597</v>
      </c>
      <c r="I674" s="304">
        <f t="shared" ca="1" si="303"/>
        <v>105.16103979735026</v>
      </c>
      <c r="J674" s="306">
        <f t="shared" ca="1" si="304"/>
        <v>745.87074281998321</v>
      </c>
      <c r="K674" s="307">
        <f t="shared" ca="1" si="305"/>
        <v>-10.28470428913451</v>
      </c>
      <c r="L674" s="304">
        <f t="shared" ca="1" si="290"/>
        <v>745.94164660323702</v>
      </c>
      <c r="M674" s="306">
        <f t="shared" ca="1" si="306"/>
        <v>-1.5118773520684647</v>
      </c>
      <c r="N674" s="304">
        <f t="shared" ca="1" si="307"/>
        <v>-86.624191414937499</v>
      </c>
      <c r="P674" s="310">
        <f t="shared" ca="1" si="308"/>
        <v>23</v>
      </c>
      <c r="Q674" s="304">
        <f t="shared" ca="1" si="309"/>
        <v>0</v>
      </c>
      <c r="R674" s="306">
        <f t="shared" ca="1" si="310"/>
        <v>0</v>
      </c>
      <c r="S674" s="307">
        <f t="shared" ca="1" si="311"/>
        <v>2.9792999999999985</v>
      </c>
      <c r="T674" s="304">
        <f t="shared" ca="1" si="291"/>
        <v>29.226932999999988</v>
      </c>
      <c r="U674" s="311">
        <f t="shared" ca="1" si="292"/>
        <v>0</v>
      </c>
      <c r="V674" s="306">
        <f t="shared" ca="1" si="293"/>
        <v>1.2262605244814961</v>
      </c>
      <c r="W674" s="304">
        <f t="shared" ca="1" si="294"/>
        <v>27.769327373186744</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0.47223965148276292</v>
      </c>
      <c r="AH674" s="304">
        <f t="shared" ca="1" si="318"/>
        <v>-9.3207375158633781</v>
      </c>
    </row>
    <row r="675" spans="1:34" x14ac:dyDescent="0.2">
      <c r="A675" s="347">
        <f t="shared" ca="1" si="296"/>
        <v>1E-4</v>
      </c>
      <c r="B675" s="304">
        <f t="shared" ca="1" si="297"/>
        <v>36.815500000000725</v>
      </c>
      <c r="D675" s="306">
        <f t="shared" ca="1" si="298"/>
        <v>-0.54885168774461002</v>
      </c>
      <c r="E675" s="307">
        <f t="shared" ca="1" si="299"/>
        <v>-0.5054178965705578</v>
      </c>
      <c r="F675" s="304">
        <f t="shared" ca="1" si="300"/>
        <v>0.74611354719902656</v>
      </c>
      <c r="G675" s="306">
        <f t="shared" ca="1" si="301"/>
        <v>6.1923415480923403</v>
      </c>
      <c r="H675" s="307">
        <f t="shared" ca="1" si="302"/>
        <v>-104.97861272318563</v>
      </c>
      <c r="I675" s="304">
        <f t="shared" ca="1" si="303"/>
        <v>105.16108701954741</v>
      </c>
      <c r="J675" s="306">
        <f t="shared" ca="1" si="304"/>
        <v>745.87074281998321</v>
      </c>
      <c r="K675" s="307">
        <f t="shared" ca="1" si="305"/>
        <v>-10.295202147879738</v>
      </c>
      <c r="L675" s="304">
        <f t="shared" ca="1" si="290"/>
        <v>745.94179141679626</v>
      </c>
      <c r="M675" s="306">
        <f t="shared" ca="1" si="306"/>
        <v>-1.5118779013788639</v>
      </c>
      <c r="N675" s="304">
        <f t="shared" ca="1" si="307"/>
        <v>-86.62422288810501</v>
      </c>
      <c r="P675" s="310">
        <f t="shared" ca="1" si="308"/>
        <v>23</v>
      </c>
      <c r="Q675" s="304">
        <f t="shared" ca="1" si="309"/>
        <v>0</v>
      </c>
      <c r="R675" s="306">
        <f t="shared" ca="1" si="310"/>
        <v>0</v>
      </c>
      <c r="S675" s="307">
        <f t="shared" ca="1" si="311"/>
        <v>2.9792999999999985</v>
      </c>
      <c r="T675" s="304">
        <f t="shared" ca="1" si="291"/>
        <v>29.226932999999988</v>
      </c>
      <c r="U675" s="311">
        <f t="shared" ca="1" si="292"/>
        <v>0</v>
      </c>
      <c r="V675" s="306">
        <f t="shared" ca="1" si="293"/>
        <v>1.2262618117934898</v>
      </c>
      <c r="W675" s="304">
        <f t="shared" ca="1" si="294"/>
        <v>27.769381464527857</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0.47222181280100628</v>
      </c>
      <c r="AH675" s="304">
        <f t="shared" ca="1" si="318"/>
        <v>-9.3207556718647862</v>
      </c>
    </row>
    <row r="676" spans="1:34" x14ac:dyDescent="0.2">
      <c r="A676" s="347">
        <f t="shared" ca="1" si="296"/>
        <v>1E-4</v>
      </c>
      <c r="B676" s="304">
        <f t="shared" ca="1" si="297"/>
        <v>36.815600000000728</v>
      </c>
      <c r="D676" s="306">
        <f t="shared" ca="1" si="298"/>
        <v>-0.54884764572855627</v>
      </c>
      <c r="E676" s="307">
        <f t="shared" ca="1" si="299"/>
        <v>-0.50539947086410208</v>
      </c>
      <c r="F676" s="304">
        <f t="shared" ca="1" si="300"/>
        <v>0.74609809232532764</v>
      </c>
      <c r="G676" s="306">
        <f t="shared" ca="1" si="301"/>
        <v>6.1922866633277671</v>
      </c>
      <c r="H676" s="307">
        <f t="shared" ca="1" si="302"/>
        <v>-104.97866326313272</v>
      </c>
      <c r="I676" s="304">
        <f t="shared" ca="1" si="303"/>
        <v>105.16113423996072</v>
      </c>
      <c r="J676" s="306">
        <f t="shared" ca="1" si="304"/>
        <v>745.87074281998321</v>
      </c>
      <c r="K676" s="307">
        <f t="shared" ca="1" si="305"/>
        <v>-10.305700011679054</v>
      </c>
      <c r="L676" s="304">
        <f t="shared" ca="1" si="290"/>
        <v>745.9419363781368</v>
      </c>
      <c r="M676" s="306">
        <f t="shared" ca="1" si="306"/>
        <v>-1.5118784506839014</v>
      </c>
      <c r="N676" s="304">
        <f t="shared" ca="1" si="307"/>
        <v>-86.624254360965324</v>
      </c>
      <c r="P676" s="310">
        <f t="shared" ca="1" si="308"/>
        <v>23</v>
      </c>
      <c r="Q676" s="304">
        <f t="shared" ca="1" si="309"/>
        <v>0</v>
      </c>
      <c r="R676" s="306">
        <f t="shared" ca="1" si="310"/>
        <v>0</v>
      </c>
      <c r="S676" s="307">
        <f t="shared" ca="1" si="311"/>
        <v>2.9792999999999985</v>
      </c>
      <c r="T676" s="304">
        <f t="shared" ca="1" si="291"/>
        <v>29.226932999999988</v>
      </c>
      <c r="U676" s="311">
        <f t="shared" ca="1" si="292"/>
        <v>0</v>
      </c>
      <c r="V676" s="306">
        <f t="shared" ca="1" si="293"/>
        <v>1.226263099107455</v>
      </c>
      <c r="W676" s="304">
        <f t="shared" ca="1" si="294"/>
        <v>27.76943555503507</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0.47220397439309103</v>
      </c>
      <c r="AH676" s="304">
        <f t="shared" ca="1" si="318"/>
        <v>-9.3207738275863026</v>
      </c>
    </row>
    <row r="677" spans="1:34" x14ac:dyDescent="0.2">
      <c r="A677" s="347">
        <f t="shared" ca="1" si="296"/>
        <v>1E-4</v>
      </c>
      <c r="B677" s="304">
        <f t="shared" ca="1" si="297"/>
        <v>36.815700000000732</v>
      </c>
      <c r="D677" s="306">
        <f t="shared" ca="1" si="298"/>
        <v>-0.54884360372583241</v>
      </c>
      <c r="E677" s="307">
        <f t="shared" ca="1" si="299"/>
        <v>-0.50538104544163609</v>
      </c>
      <c r="F677" s="304">
        <f t="shared" ca="1" si="300"/>
        <v>0.74608263781061124</v>
      </c>
      <c r="G677" s="306">
        <f t="shared" ca="1" si="301"/>
        <v>6.1922317789673942</v>
      </c>
      <c r="H677" s="307">
        <f t="shared" ca="1" si="302"/>
        <v>-104.97871380123726</v>
      </c>
      <c r="I677" s="304">
        <f t="shared" ca="1" si="303"/>
        <v>105.16118145859021</v>
      </c>
      <c r="J677" s="306">
        <f t="shared" ca="1" si="304"/>
        <v>745.87074281998321</v>
      </c>
      <c r="K677" s="307">
        <f t="shared" ca="1" si="305"/>
        <v>-10.316197880532272</v>
      </c>
      <c r="L677" s="304">
        <f t="shared" ca="1" si="290"/>
        <v>745.94208148725852</v>
      </c>
      <c r="M677" s="306">
        <f t="shared" ca="1" si="306"/>
        <v>-1.5118789999835764</v>
      </c>
      <c r="N677" s="304">
        <f t="shared" ca="1" si="307"/>
        <v>-86.624285833518385</v>
      </c>
      <c r="P677" s="310">
        <f t="shared" ca="1" si="308"/>
        <v>23</v>
      </c>
      <c r="Q677" s="304">
        <f t="shared" ca="1" si="309"/>
        <v>0</v>
      </c>
      <c r="R677" s="306">
        <f t="shared" ca="1" si="310"/>
        <v>0</v>
      </c>
      <c r="S677" s="307">
        <f t="shared" ca="1" si="311"/>
        <v>2.9792999999999985</v>
      </c>
      <c r="T677" s="304">
        <f t="shared" ca="1" si="291"/>
        <v>29.226932999999988</v>
      </c>
      <c r="U677" s="311">
        <f t="shared" ca="1" si="292"/>
        <v>0</v>
      </c>
      <c r="V677" s="306">
        <f t="shared" ca="1" si="293"/>
        <v>1.2262643864233924</v>
      </c>
      <c r="W677" s="304">
        <f t="shared" ca="1" si="294"/>
        <v>27.769489644708401</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0.47218613625902073</v>
      </c>
      <c r="AH677" s="304">
        <f t="shared" ca="1" si="318"/>
        <v>-9.3207919830279202</v>
      </c>
    </row>
    <row r="678" spans="1:34" x14ac:dyDescent="0.2">
      <c r="A678" s="347">
        <f t="shared" ca="1" si="296"/>
        <v>1E-4</v>
      </c>
      <c r="B678" s="304">
        <f t="shared" ca="1" si="297"/>
        <v>36.815800000000735</v>
      </c>
      <c r="D678" s="306">
        <f t="shared" ca="1" si="298"/>
        <v>-0.54883956173644577</v>
      </c>
      <c r="E678" s="307">
        <f t="shared" ca="1" si="299"/>
        <v>-0.50536262030315093</v>
      </c>
      <c r="F678" s="304">
        <f t="shared" ca="1" si="300"/>
        <v>0.74606718365487745</v>
      </c>
      <c r="G678" s="306">
        <f t="shared" ca="1" si="301"/>
        <v>6.1921768950112206</v>
      </c>
      <c r="H678" s="307">
        <f t="shared" ca="1" si="302"/>
        <v>-104.9787643374993</v>
      </c>
      <c r="I678" s="304">
        <f t="shared" ca="1" si="303"/>
        <v>105.16122867543592</v>
      </c>
      <c r="J678" s="306">
        <f t="shared" ca="1" si="304"/>
        <v>745.87074281998321</v>
      </c>
      <c r="K678" s="307">
        <f t="shared" ca="1" si="305"/>
        <v>-10.326695754439209</v>
      </c>
      <c r="L678" s="304">
        <f t="shared" ca="1" si="290"/>
        <v>745.94222674416164</v>
      </c>
      <c r="M678" s="306">
        <f t="shared" ca="1" si="306"/>
        <v>-1.51187954927789</v>
      </c>
      <c r="N678" s="304">
        <f t="shared" ca="1" si="307"/>
        <v>-86.624317305764265</v>
      </c>
      <c r="P678" s="310">
        <f t="shared" ca="1" si="308"/>
        <v>23</v>
      </c>
      <c r="Q678" s="304">
        <f t="shared" ca="1" si="309"/>
        <v>0</v>
      </c>
      <c r="R678" s="306">
        <f t="shared" ca="1" si="310"/>
        <v>0</v>
      </c>
      <c r="S678" s="307">
        <f t="shared" ca="1" si="311"/>
        <v>2.9792999999999985</v>
      </c>
      <c r="T678" s="304">
        <f t="shared" ca="1" si="291"/>
        <v>29.226932999999988</v>
      </c>
      <c r="U678" s="311">
        <f t="shared" ca="1" si="292"/>
        <v>0</v>
      </c>
      <c r="V678" s="306">
        <f t="shared" ca="1" si="293"/>
        <v>1.2262656737413016</v>
      </c>
      <c r="W678" s="304">
        <f t="shared" ca="1" si="294"/>
        <v>27.769543733547884</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0.47216829839879182</v>
      </c>
      <c r="AH678" s="304">
        <f t="shared" ca="1" si="318"/>
        <v>-9.3208101381896462</v>
      </c>
    </row>
    <row r="679" spans="1:34" x14ac:dyDescent="0.2">
      <c r="A679" s="347">
        <f t="shared" ca="1" si="296"/>
        <v>1E-4</v>
      </c>
      <c r="B679" s="304">
        <f t="shared" ca="1" si="297"/>
        <v>36.815900000000738</v>
      </c>
      <c r="D679" s="306">
        <f t="shared" ca="1" si="298"/>
        <v>-0.5488355197603898</v>
      </c>
      <c r="E679" s="307">
        <f t="shared" ca="1" si="299"/>
        <v>-0.50534419544863773</v>
      </c>
      <c r="F679" s="304">
        <f t="shared" ca="1" si="300"/>
        <v>0.74605172985811652</v>
      </c>
      <c r="G679" s="306">
        <f t="shared" ca="1" si="301"/>
        <v>6.1921220114592446</v>
      </c>
      <c r="H679" s="307">
        <f t="shared" ca="1" si="302"/>
        <v>-104.97881487191884</v>
      </c>
      <c r="I679" s="304">
        <f t="shared" ca="1" si="303"/>
        <v>105.16127589049786</v>
      </c>
      <c r="J679" s="306">
        <f t="shared" ca="1" si="304"/>
        <v>745.87074281998321</v>
      </c>
      <c r="K679" s="307">
        <f t="shared" ca="1" si="305"/>
        <v>-10.33719363339968</v>
      </c>
      <c r="L679" s="304">
        <f t="shared" ca="1" si="290"/>
        <v>745.94237214884629</v>
      </c>
      <c r="M679" s="306">
        <f t="shared" ca="1" si="306"/>
        <v>-1.5118800985668415</v>
      </c>
      <c r="N679" s="304">
        <f t="shared" ca="1" si="307"/>
        <v>-86.62434877770292</v>
      </c>
      <c r="P679" s="310">
        <f t="shared" ca="1" si="308"/>
        <v>23</v>
      </c>
      <c r="Q679" s="304">
        <f t="shared" ca="1" si="309"/>
        <v>0</v>
      </c>
      <c r="R679" s="306">
        <f t="shared" ca="1" si="310"/>
        <v>0</v>
      </c>
      <c r="S679" s="307">
        <f t="shared" ca="1" si="311"/>
        <v>2.9792999999999985</v>
      </c>
      <c r="T679" s="304">
        <f t="shared" ca="1" si="291"/>
        <v>29.226932999999988</v>
      </c>
      <c r="U679" s="311">
        <f t="shared" ca="1" si="292"/>
        <v>0</v>
      </c>
      <c r="V679" s="306">
        <f t="shared" ca="1" si="293"/>
        <v>1.2262669610611825</v>
      </c>
      <c r="W679" s="304">
        <f t="shared" ca="1" si="294"/>
        <v>27.769597821553493</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0.47215046081238654</v>
      </c>
      <c r="AH679" s="304">
        <f t="shared" ca="1" si="318"/>
        <v>-9.320828293071493</v>
      </c>
    </row>
    <row r="680" spans="1:34" x14ac:dyDescent="0.2">
      <c r="A680" s="347">
        <f t="shared" ca="1" si="296"/>
        <v>1E-4</v>
      </c>
      <c r="B680" s="304">
        <f t="shared" ca="1" si="297"/>
        <v>36.816000000000741</v>
      </c>
      <c r="D680" s="306">
        <f t="shared" ca="1" si="298"/>
        <v>-0.54883147779767061</v>
      </c>
      <c r="E680" s="307">
        <f t="shared" ca="1" si="299"/>
        <v>-0.50532577087810182</v>
      </c>
      <c r="F680" s="304">
        <f t="shared" ca="1" si="300"/>
        <v>0.74603627642033787</v>
      </c>
      <c r="G680" s="306">
        <f t="shared" ca="1" si="301"/>
        <v>6.1920671283114652</v>
      </c>
      <c r="H680" s="307">
        <f t="shared" ca="1" si="302"/>
        <v>-104.97886540449593</v>
      </c>
      <c r="I680" s="304">
        <f t="shared" ca="1" si="303"/>
        <v>105.16132310377607</v>
      </c>
      <c r="J680" s="306">
        <f t="shared" ca="1" si="304"/>
        <v>745.87074281998321</v>
      </c>
      <c r="K680" s="307">
        <f t="shared" ca="1" si="305"/>
        <v>-10.347691517413502</v>
      </c>
      <c r="L680" s="304">
        <f t="shared" ca="1" si="290"/>
        <v>745.94251770131257</v>
      </c>
      <c r="M680" s="306">
        <f t="shared" ca="1" si="306"/>
        <v>-1.5118806478504312</v>
      </c>
      <c r="N680" s="304">
        <f t="shared" ca="1" si="307"/>
        <v>-86.624380249334365</v>
      </c>
      <c r="P680" s="310">
        <f t="shared" ca="1" si="308"/>
        <v>23</v>
      </c>
      <c r="Q680" s="304">
        <f t="shared" ca="1" si="309"/>
        <v>0</v>
      </c>
      <c r="R680" s="306">
        <f t="shared" ca="1" si="310"/>
        <v>0</v>
      </c>
      <c r="S680" s="307">
        <f t="shared" ca="1" si="311"/>
        <v>2.9792999999999985</v>
      </c>
      <c r="T680" s="304">
        <f t="shared" ca="1" si="291"/>
        <v>29.226932999999988</v>
      </c>
      <c r="U680" s="311">
        <f t="shared" ca="1" si="292"/>
        <v>0</v>
      </c>
      <c r="V680" s="306">
        <f t="shared" ca="1" si="293"/>
        <v>1.2262682483830352</v>
      </c>
      <c r="W680" s="304">
        <f t="shared" ca="1" si="294"/>
        <v>27.769651908725255</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0.47213262349982266</v>
      </c>
      <c r="AH680" s="304">
        <f t="shared" ca="1" si="318"/>
        <v>-9.3208464476734498</v>
      </c>
    </row>
    <row r="681" spans="1:34" x14ac:dyDescent="0.2">
      <c r="A681" s="347">
        <f t="shared" ca="1" si="296"/>
        <v>1E-4</v>
      </c>
      <c r="B681" s="304">
        <f t="shared" ca="1" si="297"/>
        <v>36.816100000000745</v>
      </c>
      <c r="D681" s="306">
        <f t="shared" ca="1" si="298"/>
        <v>-0.54882743584828531</v>
      </c>
      <c r="E681" s="307">
        <f t="shared" ca="1" si="299"/>
        <v>-0.50530734659153786</v>
      </c>
      <c r="F681" s="304">
        <f t="shared" ca="1" si="300"/>
        <v>0.74602082334153663</v>
      </c>
      <c r="G681" s="306">
        <f t="shared" ca="1" si="301"/>
        <v>6.1920122455678808</v>
      </c>
      <c r="H681" s="307">
        <f t="shared" ca="1" si="302"/>
        <v>-104.97891593523059</v>
      </c>
      <c r="I681" s="304">
        <f t="shared" ca="1" si="303"/>
        <v>105.16137031527059</v>
      </c>
      <c r="J681" s="306">
        <f t="shared" ca="1" si="304"/>
        <v>745.87074281998321</v>
      </c>
      <c r="K681" s="307">
        <f t="shared" ca="1" si="305"/>
        <v>-10.358189406480488</v>
      </c>
      <c r="L681" s="304">
        <f t="shared" ca="1" si="290"/>
        <v>745.94266340156071</v>
      </c>
      <c r="M681" s="306">
        <f t="shared" ca="1" si="306"/>
        <v>-1.5118811971286592</v>
      </c>
      <c r="N681" s="304">
        <f t="shared" ca="1" si="307"/>
        <v>-86.624411720658614</v>
      </c>
      <c r="P681" s="310">
        <f t="shared" ca="1" si="308"/>
        <v>23</v>
      </c>
      <c r="Q681" s="304">
        <f t="shared" ca="1" si="309"/>
        <v>0</v>
      </c>
      <c r="R681" s="306">
        <f t="shared" ca="1" si="310"/>
        <v>0</v>
      </c>
      <c r="S681" s="307">
        <f t="shared" ca="1" si="311"/>
        <v>2.9792999999999985</v>
      </c>
      <c r="T681" s="304">
        <f t="shared" ca="1" si="291"/>
        <v>29.226932999999988</v>
      </c>
      <c r="U681" s="311">
        <f t="shared" ca="1" si="292"/>
        <v>0</v>
      </c>
      <c r="V681" s="306">
        <f t="shared" ca="1" si="293"/>
        <v>1.2262695357068596</v>
      </c>
      <c r="W681" s="304">
        <f t="shared" ca="1" si="294"/>
        <v>27.769705995063187</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0.47211478646108596</v>
      </c>
      <c r="AH681" s="304">
        <f t="shared" ca="1" si="318"/>
        <v>-9.3208646019955257</v>
      </c>
    </row>
    <row r="682" spans="1:34" x14ac:dyDescent="0.2">
      <c r="A682" s="347">
        <f t="shared" ca="1" si="296"/>
        <v>1E-4</v>
      </c>
      <c r="B682" s="304">
        <f t="shared" ca="1" si="297"/>
        <v>36.816200000000748</v>
      </c>
      <c r="D682" s="306">
        <f t="shared" ca="1" si="298"/>
        <v>-0.54882339391223534</v>
      </c>
      <c r="E682" s="307">
        <f t="shared" ca="1" si="299"/>
        <v>-0.50528892258893876</v>
      </c>
      <c r="F682" s="304">
        <f t="shared" ca="1" si="300"/>
        <v>0.74600537062171013</v>
      </c>
      <c r="G682" s="306">
        <f t="shared" ca="1" si="301"/>
        <v>6.1919573632284894</v>
      </c>
      <c r="H682" s="307">
        <f t="shared" ca="1" si="302"/>
        <v>-104.97896646412285</v>
      </c>
      <c r="I682" s="304">
        <f t="shared" ca="1" si="303"/>
        <v>105.16141752498142</v>
      </c>
      <c r="J682" s="306">
        <f t="shared" ca="1" si="304"/>
        <v>745.87074281998321</v>
      </c>
      <c r="K682" s="307">
        <f t="shared" ca="1" si="305"/>
        <v>-10.368687300600456</v>
      </c>
      <c r="L682" s="304">
        <f t="shared" ca="1" si="290"/>
        <v>745.9428092495906</v>
      </c>
      <c r="M682" s="306">
        <f t="shared" ca="1" si="306"/>
        <v>-1.5118817464015257</v>
      </c>
      <c r="N682" s="304">
        <f t="shared" ca="1" si="307"/>
        <v>-86.624443191675667</v>
      </c>
      <c r="P682" s="310">
        <f t="shared" ca="1" si="308"/>
        <v>23</v>
      </c>
      <c r="Q682" s="304">
        <f t="shared" ca="1" si="309"/>
        <v>0</v>
      </c>
      <c r="R682" s="306">
        <f t="shared" ca="1" si="310"/>
        <v>0</v>
      </c>
      <c r="S682" s="307">
        <f t="shared" ca="1" si="311"/>
        <v>2.9792999999999985</v>
      </c>
      <c r="T682" s="304">
        <f t="shared" ca="1" si="291"/>
        <v>29.226932999999988</v>
      </c>
      <c r="U682" s="311">
        <f t="shared" ca="1" si="292"/>
        <v>0</v>
      </c>
      <c r="V682" s="306">
        <f t="shared" ca="1" si="293"/>
        <v>1.2262708230326556</v>
      </c>
      <c r="W682" s="304">
        <f t="shared" ca="1" si="294"/>
        <v>27.769760080567284</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0.47209694969617289</v>
      </c>
      <c r="AH682" s="304">
        <f t="shared" ca="1" si="318"/>
        <v>-9.3208827560377276</v>
      </c>
    </row>
    <row r="683" spans="1:34" x14ac:dyDescent="0.2">
      <c r="A683" s="347">
        <f t="shared" ca="1" si="296"/>
        <v>1E-4</v>
      </c>
      <c r="B683" s="304">
        <f t="shared" ca="1" si="297"/>
        <v>36.816300000000751</v>
      </c>
      <c r="D683" s="306">
        <f t="shared" ca="1" si="298"/>
        <v>-0.54881935198951903</v>
      </c>
      <c r="E683" s="307">
        <f t="shared" ca="1" si="299"/>
        <v>-0.50527049887030451</v>
      </c>
      <c r="F683" s="304">
        <f t="shared" ca="1" si="300"/>
        <v>0.74598991826085825</v>
      </c>
      <c r="G683" s="306">
        <f t="shared" ca="1" si="301"/>
        <v>6.1919024812932904</v>
      </c>
      <c r="H683" s="307">
        <f t="shared" ca="1" si="302"/>
        <v>-104.97901699117274</v>
      </c>
      <c r="I683" s="304">
        <f t="shared" ca="1" si="303"/>
        <v>105.16146473290861</v>
      </c>
      <c r="J683" s="306">
        <f t="shared" ca="1" si="304"/>
        <v>745.87074281998321</v>
      </c>
      <c r="K683" s="307">
        <f t="shared" ca="1" si="305"/>
        <v>-10.379185199773222</v>
      </c>
      <c r="L683" s="304">
        <f t="shared" ca="1" si="290"/>
        <v>745.94295524540257</v>
      </c>
      <c r="M683" s="306">
        <f t="shared" ca="1" si="306"/>
        <v>-1.5118822956690305</v>
      </c>
      <c r="N683" s="304">
        <f t="shared" ca="1" si="307"/>
        <v>-86.624474662385509</v>
      </c>
      <c r="P683" s="310">
        <f t="shared" ca="1" si="308"/>
        <v>23</v>
      </c>
      <c r="Q683" s="304">
        <f t="shared" ca="1" si="309"/>
        <v>0</v>
      </c>
      <c r="R683" s="306">
        <f t="shared" ca="1" si="310"/>
        <v>0</v>
      </c>
      <c r="S683" s="307">
        <f t="shared" ca="1" si="311"/>
        <v>2.9792999999999985</v>
      </c>
      <c r="T683" s="304">
        <f t="shared" ca="1" si="291"/>
        <v>29.226932999999988</v>
      </c>
      <c r="U683" s="311">
        <f t="shared" ca="1" si="292"/>
        <v>0</v>
      </c>
      <c r="V683" s="306">
        <f t="shared" ca="1" si="293"/>
        <v>1.2262721103604237</v>
      </c>
      <c r="W683" s="304">
        <f t="shared" ca="1" si="294"/>
        <v>27.769814165237584</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0.47207911320508167</v>
      </c>
      <c r="AH683" s="304">
        <f t="shared" ca="1" si="318"/>
        <v>-9.3209009098000539</v>
      </c>
    </row>
    <row r="684" spans="1:34" x14ac:dyDescent="0.2">
      <c r="A684" s="347">
        <f t="shared" ca="1" si="296"/>
        <v>1E-4</v>
      </c>
      <c r="B684" s="304">
        <f t="shared" ca="1" si="297"/>
        <v>36.816400000000755</v>
      </c>
      <c r="D684" s="306">
        <f t="shared" ca="1" si="298"/>
        <v>-0.54881531008014006</v>
      </c>
      <c r="E684" s="307">
        <f t="shared" ca="1" si="299"/>
        <v>-0.50525207543562622</v>
      </c>
      <c r="F684" s="304">
        <f t="shared" ca="1" si="300"/>
        <v>0.74597446625897867</v>
      </c>
      <c r="G684" s="306">
        <f t="shared" ca="1" si="301"/>
        <v>6.1918475997622826</v>
      </c>
      <c r="H684" s="307">
        <f t="shared" ca="1" si="302"/>
        <v>-104.97906751638028</v>
      </c>
      <c r="I684" s="304">
        <f t="shared" ca="1" si="303"/>
        <v>105.16151193905218</v>
      </c>
      <c r="J684" s="306">
        <f t="shared" ca="1" si="304"/>
        <v>745.87074281998321</v>
      </c>
      <c r="K684" s="307">
        <f t="shared" ca="1" si="305"/>
        <v>-10.3896831039986</v>
      </c>
      <c r="L684" s="304">
        <f t="shared" ca="1" si="290"/>
        <v>745.94310138899675</v>
      </c>
      <c r="M684" s="306">
        <f t="shared" ca="1" si="306"/>
        <v>-1.5118828449311739</v>
      </c>
      <c r="N684" s="304">
        <f t="shared" ca="1" si="307"/>
        <v>-86.62450613278817</v>
      </c>
      <c r="P684" s="310">
        <f t="shared" ca="1" si="308"/>
        <v>23</v>
      </c>
      <c r="Q684" s="304">
        <f t="shared" ca="1" si="309"/>
        <v>0</v>
      </c>
      <c r="R684" s="306">
        <f t="shared" ca="1" si="310"/>
        <v>0</v>
      </c>
      <c r="S684" s="307">
        <f t="shared" ca="1" si="311"/>
        <v>2.9792999999999985</v>
      </c>
      <c r="T684" s="304">
        <f t="shared" ca="1" si="291"/>
        <v>29.226932999999988</v>
      </c>
      <c r="U684" s="311">
        <f t="shared" ca="1" si="292"/>
        <v>0</v>
      </c>
      <c r="V684" s="306">
        <f t="shared" ca="1" si="293"/>
        <v>1.2262733976901634</v>
      </c>
      <c r="W684" s="304">
        <f t="shared" ca="1" si="294"/>
        <v>27.769868249074054</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0.4720612769878052</v>
      </c>
      <c r="AH684" s="304">
        <f t="shared" ca="1" si="318"/>
        <v>-9.3209190632825152</v>
      </c>
    </row>
    <row r="685" spans="1:34" x14ac:dyDescent="0.2">
      <c r="A685" s="347">
        <f t="shared" ca="1" si="296"/>
        <v>1E-4</v>
      </c>
      <c r="B685" s="304">
        <f t="shared" ca="1" si="297"/>
        <v>36.816500000000758</v>
      </c>
      <c r="D685" s="306">
        <f t="shared" ca="1" si="298"/>
        <v>-0.54881126818409631</v>
      </c>
      <c r="E685" s="307">
        <f t="shared" ca="1" si="299"/>
        <v>-0.50523365228491102</v>
      </c>
      <c r="F685" s="304">
        <f t="shared" ca="1" si="300"/>
        <v>0.74595901461607561</v>
      </c>
      <c r="G685" s="306">
        <f t="shared" ca="1" si="301"/>
        <v>6.1917927186354644</v>
      </c>
      <c r="H685" s="307">
        <f t="shared" ca="1" si="302"/>
        <v>-104.97911803974552</v>
      </c>
      <c r="I685" s="304">
        <f t="shared" ca="1" si="303"/>
        <v>105.16155914341213</v>
      </c>
      <c r="J685" s="306">
        <f t="shared" ca="1" si="304"/>
        <v>745.87074281998321</v>
      </c>
      <c r="K685" s="307">
        <f t="shared" ca="1" si="305"/>
        <v>-10.400181013276406</v>
      </c>
      <c r="L685" s="304">
        <f t="shared" ca="1" si="290"/>
        <v>745.94324768037313</v>
      </c>
      <c r="M685" s="306">
        <f t="shared" ca="1" si="306"/>
        <v>-1.5118833941879557</v>
      </c>
      <c r="N685" s="304">
        <f t="shared" ca="1" si="307"/>
        <v>-86.624537602883635</v>
      </c>
      <c r="P685" s="310">
        <f t="shared" ca="1" si="308"/>
        <v>23</v>
      </c>
      <c r="Q685" s="304">
        <f t="shared" ca="1" si="309"/>
        <v>0</v>
      </c>
      <c r="R685" s="306">
        <f t="shared" ca="1" si="310"/>
        <v>0</v>
      </c>
      <c r="S685" s="307">
        <f t="shared" ca="1" si="311"/>
        <v>2.9792999999999985</v>
      </c>
      <c r="T685" s="304">
        <f t="shared" ca="1" si="291"/>
        <v>29.226932999999988</v>
      </c>
      <c r="U685" s="311">
        <f t="shared" ca="1" si="292"/>
        <v>0</v>
      </c>
      <c r="V685" s="306">
        <f t="shared" ca="1" si="293"/>
        <v>1.2262746850218744</v>
      </c>
      <c r="W685" s="304">
        <f t="shared" ca="1" si="294"/>
        <v>27.769922332076728</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0.47204344104435236</v>
      </c>
      <c r="AH685" s="304">
        <f t="shared" ca="1" si="318"/>
        <v>-9.3209372164851025</v>
      </c>
    </row>
    <row r="686" spans="1:34" x14ac:dyDescent="0.2">
      <c r="A686" s="347">
        <f t="shared" ca="1" si="296"/>
        <v>1E-4</v>
      </c>
      <c r="B686" s="304">
        <f t="shared" ca="1" si="297"/>
        <v>36.816600000000761</v>
      </c>
      <c r="D686" s="306">
        <f t="shared" ca="1" si="298"/>
        <v>-0.54880722630138956</v>
      </c>
      <c r="E686" s="307">
        <f t="shared" ca="1" si="299"/>
        <v>-0.50521522941814645</v>
      </c>
      <c r="F686" s="304">
        <f t="shared" ca="1" si="300"/>
        <v>0.74594356333214307</v>
      </c>
      <c r="G686" s="306">
        <f t="shared" ca="1" si="301"/>
        <v>6.1917378379128341</v>
      </c>
      <c r="H686" s="307">
        <f t="shared" ca="1" si="302"/>
        <v>-104.97916856126845</v>
      </c>
      <c r="I686" s="304">
        <f t="shared" ca="1" si="303"/>
        <v>105.16160634598853</v>
      </c>
      <c r="J686" s="306">
        <f t="shared" ca="1" si="304"/>
        <v>745.87074281998321</v>
      </c>
      <c r="K686" s="307">
        <f t="shared" ca="1" si="305"/>
        <v>-10.410678927606456</v>
      </c>
      <c r="L686" s="304">
        <f t="shared" ca="1" si="290"/>
        <v>745.94339411953183</v>
      </c>
      <c r="M686" s="306">
        <f t="shared" ca="1" si="306"/>
        <v>-1.5118839434393763</v>
      </c>
      <c r="N686" s="304">
        <f t="shared" ca="1" si="307"/>
        <v>-86.624569072671932</v>
      </c>
      <c r="P686" s="310">
        <f t="shared" ca="1" si="308"/>
        <v>23</v>
      </c>
      <c r="Q686" s="304">
        <f t="shared" ca="1" si="309"/>
        <v>0</v>
      </c>
      <c r="R686" s="306">
        <f t="shared" ca="1" si="310"/>
        <v>0</v>
      </c>
      <c r="S686" s="307">
        <f t="shared" ca="1" si="311"/>
        <v>2.9792999999999985</v>
      </c>
      <c r="T686" s="304">
        <f t="shared" ca="1" si="291"/>
        <v>29.226932999999988</v>
      </c>
      <c r="U686" s="311">
        <f t="shared" ca="1" si="292"/>
        <v>0</v>
      </c>
      <c r="V686" s="306">
        <f t="shared" ca="1" si="293"/>
        <v>1.2262759723555574</v>
      </c>
      <c r="W686" s="304">
        <f t="shared" ca="1" si="294"/>
        <v>27.769976414245619</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0.47202560537470895</v>
      </c>
      <c r="AH686" s="304">
        <f t="shared" ca="1" si="318"/>
        <v>-9.3209553694078284</v>
      </c>
    </row>
    <row r="687" spans="1:34" x14ac:dyDescent="0.2">
      <c r="A687" s="347">
        <f t="shared" ca="1" si="296"/>
        <v>1E-4</v>
      </c>
      <c r="B687" s="304">
        <f t="shared" ca="1" si="297"/>
        <v>36.816700000000765</v>
      </c>
      <c r="D687" s="306">
        <f t="shared" ca="1" si="298"/>
        <v>-0.54880318443201836</v>
      </c>
      <c r="E687" s="307">
        <f t="shared" ca="1" si="299"/>
        <v>-0.50519680683533252</v>
      </c>
      <c r="F687" s="304">
        <f t="shared" ca="1" si="300"/>
        <v>0.74592811240718115</v>
      </c>
      <c r="G687" s="306">
        <f t="shared" ca="1" si="301"/>
        <v>6.1916829575943906</v>
      </c>
      <c r="H687" s="307">
        <f t="shared" ca="1" si="302"/>
        <v>-104.97921908094914</v>
      </c>
      <c r="I687" s="304">
        <f t="shared" ca="1" si="303"/>
        <v>105.16165354678139</v>
      </c>
      <c r="J687" s="306">
        <f t="shared" ca="1" si="304"/>
        <v>745.87074281998321</v>
      </c>
      <c r="K687" s="307">
        <f t="shared" ca="1" si="305"/>
        <v>-10.421176846988567</v>
      </c>
      <c r="L687" s="304">
        <f t="shared" ca="1" si="290"/>
        <v>745.94354070647307</v>
      </c>
      <c r="M687" s="306">
        <f t="shared" ca="1" si="306"/>
        <v>-1.5118844926854353</v>
      </c>
      <c r="N687" s="304">
        <f t="shared" ca="1" si="307"/>
        <v>-86.624600542153033</v>
      </c>
      <c r="P687" s="310">
        <f t="shared" ca="1" si="308"/>
        <v>23</v>
      </c>
      <c r="Q687" s="304">
        <f t="shared" ca="1" si="309"/>
        <v>0</v>
      </c>
      <c r="R687" s="306">
        <f t="shared" ca="1" si="310"/>
        <v>0</v>
      </c>
      <c r="S687" s="307">
        <f t="shared" ca="1" si="311"/>
        <v>2.9792999999999985</v>
      </c>
      <c r="T687" s="304">
        <f t="shared" ca="1" si="291"/>
        <v>29.226932999999988</v>
      </c>
      <c r="U687" s="311">
        <f t="shared" ca="1" si="292"/>
        <v>0</v>
      </c>
      <c r="V687" s="306">
        <f t="shared" ca="1" si="293"/>
        <v>1.2262772596912122</v>
      </c>
      <c r="W687" s="304">
        <f t="shared" ca="1" si="294"/>
        <v>27.770030495580738</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0.47200776997887317</v>
      </c>
      <c r="AH687" s="304">
        <f t="shared" ca="1" si="318"/>
        <v>-9.3209735220506946</v>
      </c>
    </row>
    <row r="688" spans="1:34" x14ac:dyDescent="0.2">
      <c r="A688" s="347">
        <f t="shared" ca="1" si="296"/>
        <v>1E-4</v>
      </c>
      <c r="B688" s="304">
        <f t="shared" ca="1" si="297"/>
        <v>36.816800000000768</v>
      </c>
      <c r="D688" s="306">
        <f t="shared" ca="1" si="298"/>
        <v>-0.54879914257598594</v>
      </c>
      <c r="E688" s="307">
        <f t="shared" ca="1" si="299"/>
        <v>-0.50517838453646391</v>
      </c>
      <c r="F688" s="304">
        <f t="shared" ca="1" si="300"/>
        <v>0.74591266184118943</v>
      </c>
      <c r="G688" s="306">
        <f t="shared" ca="1" si="301"/>
        <v>6.1916280776801331</v>
      </c>
      <c r="H688" s="307">
        <f t="shared" ca="1" si="302"/>
        <v>-104.9792695987876</v>
      </c>
      <c r="I688" s="304">
        <f t="shared" ca="1" si="303"/>
        <v>105.16170074579075</v>
      </c>
      <c r="J688" s="306">
        <f t="shared" ca="1" si="304"/>
        <v>745.87074281998321</v>
      </c>
      <c r="K688" s="307">
        <f t="shared" ca="1" si="305"/>
        <v>-10.431674771422554</v>
      </c>
      <c r="L688" s="304">
        <f t="shared" ca="1" si="290"/>
        <v>745.94368744119708</v>
      </c>
      <c r="M688" s="306">
        <f t="shared" ca="1" si="306"/>
        <v>-1.5118850419261332</v>
      </c>
      <c r="N688" s="304">
        <f t="shared" ca="1" si="307"/>
        <v>-86.624632011326952</v>
      </c>
      <c r="P688" s="310">
        <f t="shared" ca="1" si="308"/>
        <v>23</v>
      </c>
      <c r="Q688" s="304">
        <f t="shared" ca="1" si="309"/>
        <v>0</v>
      </c>
      <c r="R688" s="306">
        <f t="shared" ca="1" si="310"/>
        <v>0</v>
      </c>
      <c r="S688" s="307">
        <f t="shared" ca="1" si="311"/>
        <v>2.9792999999999985</v>
      </c>
      <c r="T688" s="304">
        <f t="shared" ca="1" si="291"/>
        <v>29.226932999999988</v>
      </c>
      <c r="U688" s="311">
        <f t="shared" ca="1" si="292"/>
        <v>0</v>
      </c>
      <c r="V688" s="306">
        <f t="shared" ca="1" si="293"/>
        <v>1.2262785470288387</v>
      </c>
      <c r="W688" s="304">
        <f t="shared" ca="1" si="294"/>
        <v>27.770084576082091</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0.47198993485684326</v>
      </c>
      <c r="AH688" s="304">
        <f t="shared" ca="1" si="318"/>
        <v>-9.3209916744137047</v>
      </c>
    </row>
    <row r="689" spans="1:34" x14ac:dyDescent="0.2">
      <c r="A689" s="347">
        <f t="shared" ca="1" si="296"/>
        <v>1E-4</v>
      </c>
      <c r="B689" s="304">
        <f t="shared" ca="1" si="297"/>
        <v>36.816900000000771</v>
      </c>
      <c r="D689" s="306">
        <f t="shared" ca="1" si="298"/>
        <v>-0.54879510073329119</v>
      </c>
      <c r="E689" s="307">
        <f t="shared" ca="1" si="299"/>
        <v>-0.50515996252153528</v>
      </c>
      <c r="F689" s="304">
        <f t="shared" ca="1" si="300"/>
        <v>0.74589721163416489</v>
      </c>
      <c r="G689" s="306">
        <f t="shared" ca="1" si="301"/>
        <v>6.1915731981700599</v>
      </c>
      <c r="H689" s="307">
        <f t="shared" ca="1" si="302"/>
        <v>-104.97932011478385</v>
      </c>
      <c r="I689" s="304">
        <f t="shared" ca="1" si="303"/>
        <v>105.16174794301661</v>
      </c>
      <c r="J689" s="306">
        <f t="shared" ca="1" si="304"/>
        <v>745.87074281998321</v>
      </c>
      <c r="K689" s="307">
        <f t="shared" ca="1" si="305"/>
        <v>-10.442172700908232</v>
      </c>
      <c r="L689" s="304">
        <f t="shared" ca="1" si="290"/>
        <v>745.94383432370375</v>
      </c>
      <c r="M689" s="306">
        <f t="shared" ca="1" si="306"/>
        <v>-1.5118855911614699</v>
      </c>
      <c r="N689" s="304">
        <f t="shared" ca="1" si="307"/>
        <v>-86.624663480193703</v>
      </c>
      <c r="P689" s="310">
        <f t="shared" ca="1" si="308"/>
        <v>23</v>
      </c>
      <c r="Q689" s="304">
        <f t="shared" ca="1" si="309"/>
        <v>0</v>
      </c>
      <c r="R689" s="306">
        <f t="shared" ca="1" si="310"/>
        <v>0</v>
      </c>
      <c r="S689" s="307">
        <f t="shared" ca="1" si="311"/>
        <v>2.9792999999999985</v>
      </c>
      <c r="T689" s="304">
        <f t="shared" ca="1" si="291"/>
        <v>29.226932999999988</v>
      </c>
      <c r="U689" s="311">
        <f t="shared" ca="1" si="292"/>
        <v>0</v>
      </c>
      <c r="V689" s="306">
        <f t="shared" ca="1" si="293"/>
        <v>1.2262798343684362</v>
      </c>
      <c r="W689" s="304">
        <f t="shared" ca="1" si="294"/>
        <v>27.770138655749683</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0.47197210000861389</v>
      </c>
      <c r="AH689" s="304">
        <f t="shared" ca="1" si="318"/>
        <v>-9.3210098264968639</v>
      </c>
    </row>
    <row r="690" spans="1:34" x14ac:dyDescent="0.2">
      <c r="A690" s="347">
        <f t="shared" ca="1" si="296"/>
        <v>1E-4</v>
      </c>
      <c r="B690" s="304">
        <f t="shared" ca="1" si="297"/>
        <v>36.817000000000775</v>
      </c>
      <c r="D690" s="306">
        <f t="shared" ca="1" si="298"/>
        <v>-0.54879105890393276</v>
      </c>
      <c r="E690" s="307">
        <f t="shared" ca="1" si="299"/>
        <v>-0.50514154079055018</v>
      </c>
      <c r="F690" s="304">
        <f t="shared" ca="1" si="300"/>
        <v>0.74588176178610965</v>
      </c>
      <c r="G690" s="306">
        <f t="shared" ca="1" si="301"/>
        <v>6.1915183190641692</v>
      </c>
      <c r="H690" s="307">
        <f t="shared" ca="1" si="302"/>
        <v>-104.97937062893793</v>
      </c>
      <c r="I690" s="304">
        <f t="shared" ca="1" si="303"/>
        <v>105.16179513845903</v>
      </c>
      <c r="J690" s="306">
        <f t="shared" ca="1" si="304"/>
        <v>745.87074281998321</v>
      </c>
      <c r="K690" s="307">
        <f t="shared" ca="1" si="305"/>
        <v>-10.452670635445418</v>
      </c>
      <c r="L690" s="304">
        <f t="shared" ca="1" si="290"/>
        <v>745.94398135399319</v>
      </c>
      <c r="M690" s="306">
        <f t="shared" ca="1" si="306"/>
        <v>-1.5118861403914454</v>
      </c>
      <c r="N690" s="304">
        <f t="shared" ca="1" si="307"/>
        <v>-86.624694948753287</v>
      </c>
      <c r="P690" s="310">
        <f t="shared" ca="1" si="308"/>
        <v>23</v>
      </c>
      <c r="Q690" s="304">
        <f t="shared" ca="1" si="309"/>
        <v>0</v>
      </c>
      <c r="R690" s="306">
        <f t="shared" ca="1" si="310"/>
        <v>0</v>
      </c>
      <c r="S690" s="307">
        <f t="shared" ca="1" si="311"/>
        <v>2.9792999999999985</v>
      </c>
      <c r="T690" s="304">
        <f t="shared" ca="1" si="291"/>
        <v>29.226932999999988</v>
      </c>
      <c r="U690" s="311">
        <f t="shared" ca="1" si="292"/>
        <v>0</v>
      </c>
      <c r="V690" s="306">
        <f t="shared" ca="1" si="293"/>
        <v>1.226281121710006</v>
      </c>
      <c r="W690" s="304">
        <f t="shared" ca="1" si="294"/>
        <v>27.770192734583535</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0.47195426543418506</v>
      </c>
      <c r="AH690" s="304">
        <f t="shared" ca="1" si="318"/>
        <v>-9.3210279783001706</v>
      </c>
    </row>
    <row r="691" spans="1:34" x14ac:dyDescent="0.2">
      <c r="A691" s="347">
        <f t="shared" ca="1" si="296"/>
        <v>1E-4</v>
      </c>
      <c r="B691" s="304">
        <f t="shared" ca="1" si="297"/>
        <v>36.817100000000778</v>
      </c>
      <c r="D691" s="306">
        <f t="shared" ca="1" si="298"/>
        <v>-0.548787017087914</v>
      </c>
      <c r="E691" s="307">
        <f t="shared" ca="1" si="299"/>
        <v>-0.50512311934349796</v>
      </c>
      <c r="F691" s="304">
        <f t="shared" ca="1" si="300"/>
        <v>0.74586631229702016</v>
      </c>
      <c r="G691" s="306">
        <f t="shared" ca="1" si="301"/>
        <v>6.19146344036246</v>
      </c>
      <c r="H691" s="307">
        <f t="shared" ca="1" si="302"/>
        <v>-104.97942114124986</v>
      </c>
      <c r="I691" s="304">
        <f t="shared" ca="1" si="303"/>
        <v>105.16184233211798</v>
      </c>
      <c r="J691" s="306">
        <f t="shared" ca="1" si="304"/>
        <v>745.87074281998321</v>
      </c>
      <c r="K691" s="307">
        <f t="shared" ca="1" si="305"/>
        <v>-10.463168575033928</v>
      </c>
      <c r="L691" s="304">
        <f t="shared" ca="1" si="290"/>
        <v>745.94412853206586</v>
      </c>
      <c r="M691" s="306">
        <f t="shared" ca="1" si="306"/>
        <v>-1.5118866896160599</v>
      </c>
      <c r="N691" s="304">
        <f t="shared" ca="1" si="307"/>
        <v>-86.624726417005689</v>
      </c>
      <c r="P691" s="310">
        <f t="shared" ca="1" si="308"/>
        <v>23</v>
      </c>
      <c r="Q691" s="304">
        <f t="shared" ca="1" si="309"/>
        <v>0</v>
      </c>
      <c r="R691" s="306">
        <f t="shared" ca="1" si="310"/>
        <v>0</v>
      </c>
      <c r="S691" s="307">
        <f t="shared" ca="1" si="311"/>
        <v>2.9792999999999985</v>
      </c>
      <c r="T691" s="304">
        <f t="shared" ca="1" si="291"/>
        <v>29.226932999999988</v>
      </c>
      <c r="U691" s="311">
        <f t="shared" ca="1" si="292"/>
        <v>0</v>
      </c>
      <c r="V691" s="306">
        <f t="shared" ca="1" si="293"/>
        <v>1.2262824090535474</v>
      </c>
      <c r="W691" s="304">
        <f t="shared" ca="1" si="294"/>
        <v>27.770246812583636</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0.47193643113354966</v>
      </c>
      <c r="AH691" s="304">
        <f t="shared" ca="1" si="318"/>
        <v>-9.3210461298236336</v>
      </c>
    </row>
    <row r="692" spans="1:34" x14ac:dyDescent="0.2">
      <c r="A692" s="347">
        <f t="shared" ca="1" si="296"/>
        <v>1E-4</v>
      </c>
      <c r="B692" s="304">
        <f t="shared" ca="1" si="297"/>
        <v>36.817200000000781</v>
      </c>
      <c r="D692" s="306">
        <f t="shared" ca="1" si="298"/>
        <v>-0.54878297528523312</v>
      </c>
      <c r="E692" s="307">
        <f t="shared" ca="1" si="299"/>
        <v>-0.50510469818038395</v>
      </c>
      <c r="F692" s="304">
        <f t="shared" ca="1" si="300"/>
        <v>0.74585086316689986</v>
      </c>
      <c r="G692" s="306">
        <f t="shared" ca="1" si="301"/>
        <v>6.1914085620649315</v>
      </c>
      <c r="H692" s="307">
        <f t="shared" ca="1" si="302"/>
        <v>-104.97947165171968</v>
      </c>
      <c r="I692" s="304">
        <f t="shared" ca="1" si="303"/>
        <v>105.16188952399357</v>
      </c>
      <c r="J692" s="306">
        <f t="shared" ca="1" si="304"/>
        <v>745.87074281998321</v>
      </c>
      <c r="K692" s="307">
        <f t="shared" ca="1" si="305"/>
        <v>-10.473666519673577</v>
      </c>
      <c r="L692" s="304">
        <f t="shared" ca="1" si="290"/>
        <v>745.94427585792153</v>
      </c>
      <c r="M692" s="306">
        <f t="shared" ca="1" si="306"/>
        <v>-1.5118872388353133</v>
      </c>
      <c r="N692" s="304">
        <f t="shared" ca="1" si="307"/>
        <v>-86.624757884950938</v>
      </c>
      <c r="P692" s="310">
        <f t="shared" ca="1" si="308"/>
        <v>23</v>
      </c>
      <c r="Q692" s="304">
        <f t="shared" ca="1" si="309"/>
        <v>0</v>
      </c>
      <c r="R692" s="306">
        <f t="shared" ca="1" si="310"/>
        <v>0</v>
      </c>
      <c r="S692" s="307">
        <f t="shared" ca="1" si="311"/>
        <v>2.9792999999999985</v>
      </c>
      <c r="T692" s="304">
        <f t="shared" ca="1" si="291"/>
        <v>29.226932999999988</v>
      </c>
      <c r="U692" s="311">
        <f t="shared" ca="1" si="292"/>
        <v>0</v>
      </c>
      <c r="V692" s="306">
        <f t="shared" ca="1" si="293"/>
        <v>1.2262836963990598</v>
      </c>
      <c r="W692" s="304">
        <f t="shared" ca="1" si="294"/>
        <v>27.770300889750015</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0.4719185971067148</v>
      </c>
      <c r="AH692" s="304">
        <f t="shared" ca="1" si="318"/>
        <v>-9.3210642810672475</v>
      </c>
    </row>
    <row r="693" spans="1:34" x14ac:dyDescent="0.2">
      <c r="A693" s="347">
        <f t="shared" ca="1" si="296"/>
        <v>1E-4</v>
      </c>
      <c r="B693" s="304">
        <f t="shared" ca="1" si="297"/>
        <v>36.817300000000785</v>
      </c>
      <c r="D693" s="306">
        <f t="shared" ca="1" si="298"/>
        <v>-0.5487789334958918</v>
      </c>
      <c r="E693" s="307">
        <f t="shared" ca="1" si="299"/>
        <v>-0.50508627730119926</v>
      </c>
      <c r="F693" s="304">
        <f t="shared" ca="1" si="300"/>
        <v>0.74583541439574486</v>
      </c>
      <c r="G693" s="306">
        <f t="shared" ca="1" si="301"/>
        <v>6.1913536841715819</v>
      </c>
      <c r="H693" s="307">
        <f t="shared" ca="1" si="302"/>
        <v>-104.97952216034741</v>
      </c>
      <c r="I693" s="304">
        <f t="shared" ca="1" si="303"/>
        <v>105.16193671408575</v>
      </c>
      <c r="J693" s="306">
        <f t="shared" ca="1" si="304"/>
        <v>745.87074281998321</v>
      </c>
      <c r="K693" s="307">
        <f t="shared" ca="1" si="305"/>
        <v>-10.484164469364179</v>
      </c>
      <c r="L693" s="304">
        <f t="shared" ca="1" si="290"/>
        <v>745.94442333156042</v>
      </c>
      <c r="M693" s="306">
        <f t="shared" ca="1" si="306"/>
        <v>-1.5118877880492059</v>
      </c>
      <c r="N693" s="304">
        <f t="shared" ca="1" si="307"/>
        <v>-86.624789352589033</v>
      </c>
      <c r="P693" s="310">
        <f t="shared" ca="1" si="308"/>
        <v>23</v>
      </c>
      <c r="Q693" s="304">
        <f t="shared" ca="1" si="309"/>
        <v>0</v>
      </c>
      <c r="R693" s="306">
        <f t="shared" ca="1" si="310"/>
        <v>0</v>
      </c>
      <c r="S693" s="307">
        <f t="shared" ca="1" si="311"/>
        <v>2.9792999999999985</v>
      </c>
      <c r="T693" s="304">
        <f t="shared" ca="1" si="291"/>
        <v>29.226932999999988</v>
      </c>
      <c r="U693" s="311">
        <f t="shared" ca="1" si="292"/>
        <v>0</v>
      </c>
      <c r="V693" s="306">
        <f t="shared" ca="1" si="293"/>
        <v>1.2262849837465439</v>
      </c>
      <c r="W693" s="304">
        <f t="shared" ca="1" si="294"/>
        <v>27.770354966082667</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0.47190076335366626</v>
      </c>
      <c r="AH693" s="304">
        <f t="shared" ca="1" si="318"/>
        <v>-9.321082432031023</v>
      </c>
    </row>
    <row r="694" spans="1:34" x14ac:dyDescent="0.2">
      <c r="A694" s="347">
        <f t="shared" ca="1" si="296"/>
        <v>1E-4</v>
      </c>
      <c r="B694" s="304">
        <f t="shared" ca="1" si="297"/>
        <v>36.817400000000788</v>
      </c>
      <c r="D694" s="306">
        <f t="shared" ca="1" si="298"/>
        <v>-0.54877489171988847</v>
      </c>
      <c r="E694" s="307">
        <f t="shared" ca="1" si="299"/>
        <v>-0.50506785670594034</v>
      </c>
      <c r="F694" s="304">
        <f t="shared" ca="1" si="300"/>
        <v>0.7458199659835526</v>
      </c>
      <c r="G694" s="306">
        <f t="shared" ca="1" si="301"/>
        <v>6.1912988066824104</v>
      </c>
      <c r="H694" s="307">
        <f t="shared" ca="1" si="302"/>
        <v>-104.97957266713308</v>
      </c>
      <c r="I694" s="304">
        <f t="shared" ca="1" si="303"/>
        <v>105.16198390239461</v>
      </c>
      <c r="J694" s="306">
        <f t="shared" ca="1" si="304"/>
        <v>745.87074281998321</v>
      </c>
      <c r="K694" s="307">
        <f t="shared" ca="1" si="305"/>
        <v>-10.494662424105554</v>
      </c>
      <c r="L694" s="304">
        <f t="shared" ca="1" si="290"/>
        <v>745.94457095298276</v>
      </c>
      <c r="M694" s="306">
        <f t="shared" ca="1" si="306"/>
        <v>-1.5118883372577376</v>
      </c>
      <c r="N694" s="304">
        <f t="shared" ca="1" si="307"/>
        <v>-86.624820819919975</v>
      </c>
      <c r="P694" s="310">
        <f t="shared" ca="1" si="308"/>
        <v>23</v>
      </c>
      <c r="Q694" s="304">
        <f t="shared" ca="1" si="309"/>
        <v>0</v>
      </c>
      <c r="R694" s="306">
        <f t="shared" ca="1" si="310"/>
        <v>0</v>
      </c>
      <c r="S694" s="307">
        <f t="shared" ca="1" si="311"/>
        <v>2.9792999999999985</v>
      </c>
      <c r="T694" s="304">
        <f t="shared" ca="1" si="291"/>
        <v>29.226932999999988</v>
      </c>
      <c r="U694" s="311">
        <f t="shared" ca="1" si="292"/>
        <v>0</v>
      </c>
      <c r="V694" s="306">
        <f t="shared" ca="1" si="293"/>
        <v>1.2262862710959999</v>
      </c>
      <c r="W694" s="304">
        <f t="shared" ca="1" si="294"/>
        <v>27.770409041581633</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0.47188292987440583</v>
      </c>
      <c r="AH694" s="304">
        <f t="shared" ca="1" si="318"/>
        <v>-9.3211005827149602</v>
      </c>
    </row>
    <row r="695" spans="1:34" x14ac:dyDescent="0.2">
      <c r="A695" s="347">
        <f t="shared" ca="1" si="296"/>
        <v>1E-4</v>
      </c>
      <c r="B695" s="304">
        <f t="shared" ca="1" si="297"/>
        <v>36.817500000000791</v>
      </c>
      <c r="D695" s="306">
        <f t="shared" ca="1" si="298"/>
        <v>-0.54877084995722469</v>
      </c>
      <c r="E695" s="307">
        <f t="shared" ca="1" si="299"/>
        <v>-0.50504943639459832</v>
      </c>
      <c r="F695" s="304">
        <f t="shared" ca="1" si="300"/>
        <v>0.74580451793031943</v>
      </c>
      <c r="G695" s="306">
        <f t="shared" ca="1" si="301"/>
        <v>6.1912439295974151</v>
      </c>
      <c r="H695" s="307">
        <f t="shared" ca="1" si="302"/>
        <v>-104.97962317207673</v>
      </c>
      <c r="I695" s="304">
        <f t="shared" ca="1" si="303"/>
        <v>105.16203108892013</v>
      </c>
      <c r="J695" s="306">
        <f t="shared" ca="1" si="304"/>
        <v>745.87074281998321</v>
      </c>
      <c r="K695" s="307">
        <f t="shared" ca="1" si="305"/>
        <v>-10.505160383897515</v>
      </c>
      <c r="L695" s="304">
        <f t="shared" ca="1" si="290"/>
        <v>745.94471872218844</v>
      </c>
      <c r="M695" s="306">
        <f t="shared" ca="1" si="306"/>
        <v>-1.5118888864609084</v>
      </c>
      <c r="N695" s="304">
        <f t="shared" ca="1" si="307"/>
        <v>-86.624852286943764</v>
      </c>
      <c r="P695" s="310">
        <f t="shared" ca="1" si="308"/>
        <v>23</v>
      </c>
      <c r="Q695" s="304">
        <f t="shared" ca="1" si="309"/>
        <v>0</v>
      </c>
      <c r="R695" s="306">
        <f t="shared" ca="1" si="310"/>
        <v>0</v>
      </c>
      <c r="S695" s="307">
        <f t="shared" ca="1" si="311"/>
        <v>2.9792999999999985</v>
      </c>
      <c r="T695" s="304">
        <f t="shared" ca="1" si="291"/>
        <v>29.226932999999988</v>
      </c>
      <c r="U695" s="311">
        <f t="shared" ca="1" si="292"/>
        <v>0</v>
      </c>
      <c r="V695" s="306">
        <f t="shared" ca="1" si="293"/>
        <v>1.2262875584474273</v>
      </c>
      <c r="W695" s="304">
        <f t="shared" ca="1" si="294"/>
        <v>27.770463116246884</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0.47186509666892107</v>
      </c>
      <c r="AH695" s="304">
        <f t="shared" ca="1" si="318"/>
        <v>-9.3211187331190715</v>
      </c>
    </row>
    <row r="696" spans="1:34" x14ac:dyDescent="0.2">
      <c r="A696" s="347">
        <f t="shared" ca="1" si="296"/>
        <v>1E-4</v>
      </c>
      <c r="B696" s="304">
        <f t="shared" ca="1" si="297"/>
        <v>36.817600000000795</v>
      </c>
      <c r="D696" s="306">
        <f t="shared" ca="1" si="298"/>
        <v>-0.54876680820790269</v>
      </c>
      <c r="E696" s="307">
        <f t="shared" ca="1" si="299"/>
        <v>-0.50503101636718206</v>
      </c>
      <c r="F696" s="304">
        <f t="shared" ca="1" si="300"/>
        <v>0.74578907023605401</v>
      </c>
      <c r="G696" s="306">
        <f t="shared" ca="1" si="301"/>
        <v>6.1911890529165943</v>
      </c>
      <c r="H696" s="307">
        <f t="shared" ca="1" si="302"/>
        <v>-104.97967367517836</v>
      </c>
      <c r="I696" s="304">
        <f t="shared" ca="1" si="303"/>
        <v>105.16207827366237</v>
      </c>
      <c r="J696" s="306">
        <f t="shared" ca="1" si="304"/>
        <v>745.87074281998321</v>
      </c>
      <c r="K696" s="307">
        <f t="shared" ca="1" si="305"/>
        <v>-10.515658348739878</v>
      </c>
      <c r="L696" s="304">
        <f t="shared" ca="1" si="290"/>
        <v>745.94486663917792</v>
      </c>
      <c r="M696" s="306">
        <f t="shared" ca="1" si="306"/>
        <v>-1.5118894356587185</v>
      </c>
      <c r="N696" s="304">
        <f t="shared" ca="1" si="307"/>
        <v>-86.624883753660399</v>
      </c>
      <c r="P696" s="310">
        <f t="shared" ca="1" si="308"/>
        <v>23</v>
      </c>
      <c r="Q696" s="304">
        <f t="shared" ca="1" si="309"/>
        <v>0</v>
      </c>
      <c r="R696" s="306">
        <f t="shared" ca="1" si="310"/>
        <v>0</v>
      </c>
      <c r="S696" s="307">
        <f t="shared" ca="1" si="311"/>
        <v>2.9792999999999985</v>
      </c>
      <c r="T696" s="304">
        <f t="shared" ca="1" si="291"/>
        <v>29.226932999999988</v>
      </c>
      <c r="U696" s="311">
        <f t="shared" ca="1" si="292"/>
        <v>0</v>
      </c>
      <c r="V696" s="306">
        <f t="shared" ca="1" si="293"/>
        <v>1.2262888458008261</v>
      </c>
      <c r="W696" s="304">
        <f t="shared" ca="1" si="294"/>
        <v>27.770517190078461</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0.47184726373722619</v>
      </c>
      <c r="AH696" s="304">
        <f t="shared" ca="1" si="318"/>
        <v>-9.3211368832433443</v>
      </c>
    </row>
    <row r="697" spans="1:34" x14ac:dyDescent="0.2">
      <c r="A697" s="347">
        <f t="shared" ca="1" si="296"/>
        <v>1E-4</v>
      </c>
      <c r="B697" s="304">
        <f t="shared" ca="1" si="297"/>
        <v>36.817700000000798</v>
      </c>
      <c r="D697" s="306">
        <f t="shared" ca="1" si="298"/>
        <v>-0.54876276647192002</v>
      </c>
      <c r="E697" s="307">
        <f t="shared" ca="1" si="299"/>
        <v>-0.50501259662367559</v>
      </c>
      <c r="F697" s="304">
        <f t="shared" ca="1" si="300"/>
        <v>0.74577362290074478</v>
      </c>
      <c r="G697" s="306">
        <f t="shared" ca="1" si="301"/>
        <v>6.191134176639947</v>
      </c>
      <c r="H697" s="307">
        <f t="shared" ca="1" si="302"/>
        <v>-104.97972417643803</v>
      </c>
      <c r="I697" s="304">
        <f t="shared" ca="1" si="303"/>
        <v>105.16212545662134</v>
      </c>
      <c r="J697" s="306">
        <f t="shared" ca="1" si="304"/>
        <v>745.87074281998321</v>
      </c>
      <c r="K697" s="307">
        <f t="shared" ca="1" si="305"/>
        <v>-10.526156318632459</v>
      </c>
      <c r="L697" s="304">
        <f t="shared" ca="1" si="290"/>
        <v>745.94501470395107</v>
      </c>
      <c r="M697" s="306">
        <f t="shared" ca="1" si="306"/>
        <v>-1.5118899848511678</v>
      </c>
      <c r="N697" s="304">
        <f t="shared" ca="1" si="307"/>
        <v>-86.62491522006988</v>
      </c>
      <c r="P697" s="310">
        <f t="shared" ca="1" si="308"/>
        <v>23</v>
      </c>
      <c r="Q697" s="304">
        <f t="shared" ca="1" si="309"/>
        <v>0</v>
      </c>
      <c r="R697" s="306">
        <f t="shared" ca="1" si="310"/>
        <v>0</v>
      </c>
      <c r="S697" s="307">
        <f t="shared" ca="1" si="311"/>
        <v>2.9792999999999985</v>
      </c>
      <c r="T697" s="304">
        <f t="shared" ca="1" si="291"/>
        <v>29.226932999999988</v>
      </c>
      <c r="U697" s="311">
        <f t="shared" ca="1" si="292"/>
        <v>0</v>
      </c>
      <c r="V697" s="306">
        <f t="shared" ca="1" si="293"/>
        <v>1.2262901331561962</v>
      </c>
      <c r="W697" s="304">
        <f t="shared" ca="1" si="294"/>
        <v>27.770571263076345</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0.47182943107929987</v>
      </c>
      <c r="AH697" s="304">
        <f t="shared" ca="1" si="318"/>
        <v>-9.3211550330877984</v>
      </c>
    </row>
    <row r="698" spans="1:34" x14ac:dyDescent="0.2">
      <c r="A698" s="347">
        <f t="shared" ca="1" si="296"/>
        <v>1E-4</v>
      </c>
      <c r="B698" s="304">
        <f t="shared" ca="1" si="297"/>
        <v>36.817800000000801</v>
      </c>
      <c r="D698" s="306">
        <f t="shared" ca="1" si="298"/>
        <v>-0.54875872474927889</v>
      </c>
      <c r="E698" s="307">
        <f t="shared" ca="1" si="299"/>
        <v>-0.50499417716408956</v>
      </c>
      <c r="F698" s="304">
        <f t="shared" ca="1" si="300"/>
        <v>0.74575817592440163</v>
      </c>
      <c r="G698" s="306">
        <f t="shared" ca="1" si="301"/>
        <v>6.1910793007674725</v>
      </c>
      <c r="H698" s="307">
        <f t="shared" ca="1" si="302"/>
        <v>-104.97977467585574</v>
      </c>
      <c r="I698" s="304">
        <f t="shared" ca="1" si="303"/>
        <v>105.16217263779706</v>
      </c>
      <c r="J698" s="306">
        <f t="shared" ca="1" si="304"/>
        <v>745.87074281998321</v>
      </c>
      <c r="K698" s="307">
        <f t="shared" ca="1" si="305"/>
        <v>-10.536654293575074</v>
      </c>
      <c r="L698" s="304">
        <f t="shared" ca="1" si="290"/>
        <v>745.94516291650814</v>
      </c>
      <c r="M698" s="306">
        <f t="shared" ca="1" si="306"/>
        <v>-1.5118905340382567</v>
      </c>
      <c r="N698" s="304">
        <f t="shared" ca="1" si="307"/>
        <v>-86.624946686172237</v>
      </c>
      <c r="P698" s="310">
        <f t="shared" ca="1" si="308"/>
        <v>23</v>
      </c>
      <c r="Q698" s="304">
        <f t="shared" ca="1" si="309"/>
        <v>0</v>
      </c>
      <c r="R698" s="306">
        <f t="shared" ca="1" si="310"/>
        <v>0</v>
      </c>
      <c r="S698" s="307">
        <f t="shared" ca="1" si="311"/>
        <v>2.9792999999999985</v>
      </c>
      <c r="T698" s="304">
        <f t="shared" ca="1" si="291"/>
        <v>29.226932999999988</v>
      </c>
      <c r="U698" s="311">
        <f t="shared" ca="1" si="292"/>
        <v>0</v>
      </c>
      <c r="V698" s="306">
        <f t="shared" ca="1" si="293"/>
        <v>1.2262914205135378</v>
      </c>
      <c r="W698" s="304">
        <f t="shared" ca="1" si="294"/>
        <v>27.77062533524056</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0.47181159869515454</v>
      </c>
      <c r="AH698" s="304">
        <f t="shared" ca="1" si="318"/>
        <v>-9.3211731826524211</v>
      </c>
    </row>
    <row r="699" spans="1:34" x14ac:dyDescent="0.2">
      <c r="A699" s="347">
        <f t="shared" ca="1" si="296"/>
        <v>1E-4</v>
      </c>
      <c r="B699" s="304">
        <f t="shared" ca="1" si="297"/>
        <v>36.817900000000805</v>
      </c>
      <c r="D699" s="306">
        <f t="shared" ca="1" si="298"/>
        <v>-0.54875468303997677</v>
      </c>
      <c r="E699" s="307">
        <f t="shared" ca="1" si="299"/>
        <v>-0.50497575798841154</v>
      </c>
      <c r="F699" s="304">
        <f t="shared" ca="1" si="300"/>
        <v>0.74574272930701524</v>
      </c>
      <c r="G699" s="306">
        <f t="shared" ca="1" si="301"/>
        <v>6.1910244252991689</v>
      </c>
      <c r="H699" s="307">
        <f t="shared" ca="1" si="302"/>
        <v>-104.97982517343154</v>
      </c>
      <c r="I699" s="304">
        <f t="shared" ca="1" si="303"/>
        <v>105.16221981718957</v>
      </c>
      <c r="J699" s="306">
        <f t="shared" ca="1" si="304"/>
        <v>745.87074281998321</v>
      </c>
      <c r="K699" s="307">
        <f t="shared" ca="1" si="305"/>
        <v>-10.547152273567539</v>
      </c>
      <c r="L699" s="304">
        <f t="shared" ca="1" si="290"/>
        <v>745.94531127684911</v>
      </c>
      <c r="M699" s="306">
        <f t="shared" ca="1" si="306"/>
        <v>-1.5118910832199848</v>
      </c>
      <c r="N699" s="304">
        <f t="shared" ca="1" si="307"/>
        <v>-86.62497815196744</v>
      </c>
      <c r="P699" s="310">
        <f t="shared" ca="1" si="308"/>
        <v>23</v>
      </c>
      <c r="Q699" s="304">
        <f t="shared" ca="1" si="309"/>
        <v>0</v>
      </c>
      <c r="R699" s="306">
        <f t="shared" ca="1" si="310"/>
        <v>0</v>
      </c>
      <c r="S699" s="307">
        <f t="shared" ca="1" si="311"/>
        <v>2.9792999999999985</v>
      </c>
      <c r="T699" s="304">
        <f t="shared" ca="1" si="291"/>
        <v>29.226932999999988</v>
      </c>
      <c r="U699" s="311">
        <f t="shared" ca="1" si="292"/>
        <v>0</v>
      </c>
      <c r="V699" s="306">
        <f t="shared" ca="1" si="293"/>
        <v>1.2262927078728512</v>
      </c>
      <c r="W699" s="304">
        <f t="shared" ca="1" si="294"/>
        <v>27.770679406571126</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0.47179376658477779</v>
      </c>
      <c r="AH699" s="304">
        <f t="shared" ca="1" si="318"/>
        <v>-9.321191331937225</v>
      </c>
    </row>
    <row r="700" spans="1:34" x14ac:dyDescent="0.2">
      <c r="A700" s="347">
        <f t="shared" ca="1" si="296"/>
        <v>1E-4</v>
      </c>
      <c r="B700" s="304">
        <f t="shared" ca="1" si="297"/>
        <v>36.818000000000808</v>
      </c>
      <c r="D700" s="306">
        <f t="shared" ca="1" si="298"/>
        <v>-0.54875064134401863</v>
      </c>
      <c r="E700" s="307">
        <f t="shared" ca="1" si="299"/>
        <v>-0.5049573390966362</v>
      </c>
      <c r="F700" s="304">
        <f t="shared" ca="1" si="300"/>
        <v>0.74572728304858671</v>
      </c>
      <c r="G700" s="306">
        <f t="shared" ca="1" si="301"/>
        <v>6.1909695502350344</v>
      </c>
      <c r="H700" s="307">
        <f t="shared" ca="1" si="302"/>
        <v>-104.97987566916545</v>
      </c>
      <c r="I700" s="304">
        <f t="shared" ca="1" si="303"/>
        <v>105.16226699479891</v>
      </c>
      <c r="J700" s="306">
        <f t="shared" ca="1" si="304"/>
        <v>745.87074281998321</v>
      </c>
      <c r="K700" s="307">
        <f t="shared" ca="1" si="305"/>
        <v>-10.557650258609669</v>
      </c>
      <c r="L700" s="304">
        <f t="shared" ca="1" si="290"/>
        <v>745.94545978497422</v>
      </c>
      <c r="M700" s="306">
        <f t="shared" ca="1" si="306"/>
        <v>-1.5118916323963525</v>
      </c>
      <c r="N700" s="304">
        <f t="shared" ca="1" si="307"/>
        <v>-86.625009617455518</v>
      </c>
      <c r="P700" s="310">
        <f t="shared" ca="1" si="308"/>
        <v>23</v>
      </c>
      <c r="Q700" s="304">
        <f t="shared" ca="1" si="309"/>
        <v>0</v>
      </c>
      <c r="R700" s="306">
        <f t="shared" ca="1" si="310"/>
        <v>0</v>
      </c>
      <c r="S700" s="307">
        <f t="shared" ca="1" si="311"/>
        <v>2.9792999999999985</v>
      </c>
      <c r="T700" s="304">
        <f t="shared" ca="1" si="291"/>
        <v>29.226932999999988</v>
      </c>
      <c r="U700" s="311">
        <f t="shared" ca="1" si="292"/>
        <v>0</v>
      </c>
      <c r="V700" s="306">
        <f t="shared" ca="1" si="293"/>
        <v>1.2262939952341354</v>
      </c>
      <c r="W700" s="304">
        <f t="shared" ca="1" si="294"/>
        <v>27.770733477068049</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0.47177593474816604</v>
      </c>
      <c r="AH700" s="304">
        <f t="shared" ca="1" si="318"/>
        <v>-9.3212094809422155</v>
      </c>
    </row>
    <row r="701" spans="1:34" x14ac:dyDescent="0.2">
      <c r="A701" s="347">
        <f t="shared" ca="1" si="296"/>
        <v>1E-4</v>
      </c>
      <c r="B701" s="304">
        <f t="shared" ca="1" si="297"/>
        <v>36.818100000000811</v>
      </c>
      <c r="D701" s="306">
        <f t="shared" ca="1" si="298"/>
        <v>-0.54874659966140127</v>
      </c>
      <c r="E701" s="307">
        <f t="shared" ca="1" si="299"/>
        <v>-0.50493892048876354</v>
      </c>
      <c r="F701" s="304">
        <f t="shared" ca="1" si="300"/>
        <v>0.74571183714911493</v>
      </c>
      <c r="G701" s="306">
        <f t="shared" ca="1" si="301"/>
        <v>6.1909146755750681</v>
      </c>
      <c r="H701" s="307">
        <f t="shared" ca="1" si="302"/>
        <v>-104.9799261630575</v>
      </c>
      <c r="I701" s="304">
        <f t="shared" ca="1" si="303"/>
        <v>105.16231417062509</v>
      </c>
      <c r="J701" s="306">
        <f t="shared" ca="1" si="304"/>
        <v>745.87074281998321</v>
      </c>
      <c r="K701" s="307">
        <f t="shared" ca="1" si="305"/>
        <v>-10.568148248701281</v>
      </c>
      <c r="L701" s="304">
        <f t="shared" ca="1" si="290"/>
        <v>745.94560844088357</v>
      </c>
      <c r="M701" s="306">
        <f t="shared" ca="1" si="306"/>
        <v>-1.5118921815673598</v>
      </c>
      <c r="N701" s="304">
        <f t="shared" ca="1" si="307"/>
        <v>-86.625041082636471</v>
      </c>
      <c r="P701" s="310">
        <f t="shared" ca="1" si="308"/>
        <v>23</v>
      </c>
      <c r="Q701" s="304">
        <f t="shared" ca="1" si="309"/>
        <v>0</v>
      </c>
      <c r="R701" s="306">
        <f t="shared" ca="1" si="310"/>
        <v>0</v>
      </c>
      <c r="S701" s="307">
        <f t="shared" ca="1" si="311"/>
        <v>2.9792999999999985</v>
      </c>
      <c r="T701" s="304">
        <f t="shared" ca="1" si="291"/>
        <v>29.226932999999988</v>
      </c>
      <c r="U701" s="311">
        <f t="shared" ca="1" si="292"/>
        <v>0</v>
      </c>
      <c r="V701" s="306">
        <f t="shared" ca="1" si="293"/>
        <v>1.2262952825973916</v>
      </c>
      <c r="W701" s="304">
        <f t="shared" ca="1" si="294"/>
        <v>27.770787546731331</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0.47175810318531575</v>
      </c>
      <c r="AH701" s="304">
        <f t="shared" ca="1" si="318"/>
        <v>-9.3212276296673924</v>
      </c>
    </row>
    <row r="702" spans="1:34" x14ac:dyDescent="0.2">
      <c r="A702" s="347">
        <f t="shared" ca="1" si="296"/>
        <v>1E-4</v>
      </c>
      <c r="B702" s="304">
        <f t="shared" ca="1" si="297"/>
        <v>36.818200000000814</v>
      </c>
      <c r="D702" s="306">
        <f t="shared" ca="1" si="298"/>
        <v>-0.54874255799212557</v>
      </c>
      <c r="E702" s="307">
        <f t="shared" ca="1" si="299"/>
        <v>-0.50492050216478823</v>
      </c>
      <c r="F702" s="304">
        <f t="shared" ca="1" si="300"/>
        <v>0.74569639160859769</v>
      </c>
      <c r="G702" s="306">
        <f t="shared" ca="1" si="301"/>
        <v>6.1908598013192693</v>
      </c>
      <c r="H702" s="307">
        <f t="shared" ca="1" si="302"/>
        <v>-104.97997665510772</v>
      </c>
      <c r="I702" s="304">
        <f t="shared" ca="1" si="303"/>
        <v>105.16236134466814</v>
      </c>
      <c r="J702" s="306">
        <f t="shared" ca="1" si="304"/>
        <v>745.87074281998321</v>
      </c>
      <c r="K702" s="307">
        <f t="shared" ca="1" si="305"/>
        <v>-10.578646243842188</v>
      </c>
      <c r="L702" s="304">
        <f t="shared" ca="1" si="290"/>
        <v>745.94575724457729</v>
      </c>
      <c r="M702" s="306">
        <f t="shared" ca="1" si="306"/>
        <v>-1.5118927307330066</v>
      </c>
      <c r="N702" s="304">
        <f t="shared" ca="1" si="307"/>
        <v>-86.625072547510285</v>
      </c>
      <c r="P702" s="310">
        <f t="shared" ca="1" si="308"/>
        <v>23</v>
      </c>
      <c r="Q702" s="304">
        <f t="shared" ca="1" si="309"/>
        <v>0</v>
      </c>
      <c r="R702" s="306">
        <f t="shared" ca="1" si="310"/>
        <v>0</v>
      </c>
      <c r="S702" s="307">
        <f t="shared" ca="1" si="311"/>
        <v>2.9792999999999985</v>
      </c>
      <c r="T702" s="304">
        <f t="shared" ca="1" si="291"/>
        <v>29.226932999999988</v>
      </c>
      <c r="U702" s="311">
        <f t="shared" ca="1" si="292"/>
        <v>0</v>
      </c>
      <c r="V702" s="306">
        <f t="shared" ca="1" si="293"/>
        <v>1.2262965699626187</v>
      </c>
      <c r="W702" s="304">
        <f t="shared" ca="1" si="294"/>
        <v>27.770841615560983</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0.47174027189623047</v>
      </c>
      <c r="AH702" s="304">
        <f t="shared" ca="1" si="318"/>
        <v>-9.3212457781127593</v>
      </c>
    </row>
    <row r="703" spans="1:34" x14ac:dyDescent="0.2">
      <c r="A703" s="347">
        <f t="shared" ca="1" si="296"/>
        <v>1E-4</v>
      </c>
      <c r="B703" s="304">
        <f t="shared" ca="1" si="297"/>
        <v>36.818300000000818</v>
      </c>
      <c r="D703" s="306">
        <f t="shared" ca="1" si="298"/>
        <v>-0.54873851633619464</v>
      </c>
      <c r="E703" s="307">
        <f t="shared" ca="1" si="299"/>
        <v>-0.50490208412471027</v>
      </c>
      <c r="F703" s="304">
        <f t="shared" ca="1" si="300"/>
        <v>0.74568094642703875</v>
      </c>
      <c r="G703" s="306">
        <f t="shared" ca="1" si="301"/>
        <v>6.190804927467636</v>
      </c>
      <c r="H703" s="307">
        <f t="shared" ca="1" si="302"/>
        <v>-104.98002714531613</v>
      </c>
      <c r="I703" s="304">
        <f t="shared" ca="1" si="303"/>
        <v>105.16240851692808</v>
      </c>
      <c r="J703" s="306">
        <f t="shared" ca="1" si="304"/>
        <v>745.87074281998321</v>
      </c>
      <c r="K703" s="307">
        <f t="shared" ca="1" si="305"/>
        <v>-10.589144244032209</v>
      </c>
      <c r="L703" s="304">
        <f t="shared" ca="1" si="290"/>
        <v>745.94590619605549</v>
      </c>
      <c r="M703" s="306">
        <f t="shared" ca="1" si="306"/>
        <v>-1.5118932798932934</v>
      </c>
      <c r="N703" s="304">
        <f t="shared" ca="1" si="307"/>
        <v>-86.625104012077003</v>
      </c>
      <c r="P703" s="310">
        <f t="shared" ca="1" si="308"/>
        <v>23</v>
      </c>
      <c r="Q703" s="304">
        <f t="shared" ca="1" si="309"/>
        <v>0</v>
      </c>
      <c r="R703" s="306">
        <f t="shared" ca="1" si="310"/>
        <v>0</v>
      </c>
      <c r="S703" s="307">
        <f t="shared" ca="1" si="311"/>
        <v>2.9792999999999985</v>
      </c>
      <c r="T703" s="304">
        <f t="shared" ca="1" si="291"/>
        <v>29.226932999999988</v>
      </c>
      <c r="U703" s="311">
        <f t="shared" ca="1" si="292"/>
        <v>0</v>
      </c>
      <c r="V703" s="306">
        <f t="shared" ca="1" si="293"/>
        <v>1.2262978573298178</v>
      </c>
      <c r="W703" s="304">
        <f t="shared" ca="1" si="294"/>
        <v>27.770895683557018</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0.47172244088089954</v>
      </c>
      <c r="AH703" s="304">
        <f t="shared" ca="1" si="318"/>
        <v>-9.3212639262783199</v>
      </c>
    </row>
    <row r="704" spans="1:34" x14ac:dyDescent="0.2">
      <c r="A704" s="347">
        <f t="shared" ca="1" si="296"/>
        <v>1E-4</v>
      </c>
      <c r="B704" s="304">
        <f t="shared" ca="1" si="297"/>
        <v>36.818400000000821</v>
      </c>
      <c r="D704" s="306">
        <f t="shared" ca="1" si="298"/>
        <v>-0.54873447469360304</v>
      </c>
      <c r="E704" s="307">
        <f t="shared" ca="1" si="299"/>
        <v>-0.50488366636852611</v>
      </c>
      <c r="F704" s="304">
        <f t="shared" ca="1" si="300"/>
        <v>0.74566550160443223</v>
      </c>
      <c r="G704" s="306">
        <f t="shared" ca="1" si="301"/>
        <v>6.1907500540201665</v>
      </c>
      <c r="H704" s="307">
        <f t="shared" ca="1" si="302"/>
        <v>-104.98007763368277</v>
      </c>
      <c r="I704" s="304">
        <f t="shared" ca="1" si="303"/>
        <v>105.16245568740496</v>
      </c>
      <c r="J704" s="306">
        <f t="shared" ca="1" si="304"/>
        <v>745.87074281998321</v>
      </c>
      <c r="K704" s="307">
        <f t="shared" ca="1" si="305"/>
        <v>-10.599642249271159</v>
      </c>
      <c r="L704" s="304">
        <f t="shared" ca="1" si="290"/>
        <v>745.94605529531827</v>
      </c>
      <c r="M704" s="306">
        <f t="shared" ca="1" si="306"/>
        <v>-1.5118938290482196</v>
      </c>
      <c r="N704" s="304">
        <f t="shared" ca="1" si="307"/>
        <v>-86.625135476336567</v>
      </c>
      <c r="P704" s="310">
        <f t="shared" ca="1" si="308"/>
        <v>23</v>
      </c>
      <c r="Q704" s="304">
        <f t="shared" ca="1" si="309"/>
        <v>0</v>
      </c>
      <c r="R704" s="306">
        <f t="shared" ca="1" si="310"/>
        <v>0</v>
      </c>
      <c r="S704" s="307">
        <f t="shared" ca="1" si="311"/>
        <v>2.9792999999999985</v>
      </c>
      <c r="T704" s="304">
        <f t="shared" ca="1" si="291"/>
        <v>29.226932999999988</v>
      </c>
      <c r="U704" s="311">
        <f t="shared" ca="1" si="292"/>
        <v>0</v>
      </c>
      <c r="V704" s="306">
        <f t="shared" ca="1" si="293"/>
        <v>1.2262991446989877</v>
      </c>
      <c r="W704" s="304">
        <f t="shared" ca="1" si="294"/>
        <v>27.770949750719446</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0.47170461013932474</v>
      </c>
      <c r="AH704" s="304">
        <f t="shared" ca="1" si="318"/>
        <v>-9.3212820741640758</v>
      </c>
    </row>
    <row r="705" spans="1:34" x14ac:dyDescent="0.2">
      <c r="A705" s="347">
        <f t="shared" ca="1" si="296"/>
        <v>1E-4</v>
      </c>
      <c r="B705" s="304">
        <f t="shared" ca="1" si="297"/>
        <v>36.818500000000824</v>
      </c>
      <c r="D705" s="306">
        <f t="shared" ca="1" si="298"/>
        <v>-0.54873043306435809</v>
      </c>
      <c r="E705" s="307">
        <f t="shared" ca="1" si="299"/>
        <v>-0.50486524889622864</v>
      </c>
      <c r="F705" s="304">
        <f t="shared" ca="1" si="300"/>
        <v>0.74565005714078025</v>
      </c>
      <c r="G705" s="306">
        <f t="shared" ca="1" si="301"/>
        <v>6.19069518097686</v>
      </c>
      <c r="H705" s="307">
        <f t="shared" ca="1" si="302"/>
        <v>-104.98012812020765</v>
      </c>
      <c r="I705" s="304">
        <f t="shared" ca="1" si="303"/>
        <v>105.16250285609878</v>
      </c>
      <c r="J705" s="306">
        <f t="shared" ca="1" si="304"/>
        <v>745.87074281998321</v>
      </c>
      <c r="K705" s="307">
        <f t="shared" ca="1" si="305"/>
        <v>-10.610140259558854</v>
      </c>
      <c r="L705" s="304">
        <f t="shared" ca="1" si="290"/>
        <v>745.94620454236588</v>
      </c>
      <c r="M705" s="306">
        <f t="shared" ca="1" si="306"/>
        <v>-1.5118943781977858</v>
      </c>
      <c r="N705" s="304">
        <f t="shared" ca="1" si="307"/>
        <v>-86.625166940289034</v>
      </c>
      <c r="P705" s="310">
        <f t="shared" ca="1" si="308"/>
        <v>23</v>
      </c>
      <c r="Q705" s="304">
        <f t="shared" ca="1" si="309"/>
        <v>0</v>
      </c>
      <c r="R705" s="306">
        <f t="shared" ca="1" si="310"/>
        <v>0</v>
      </c>
      <c r="S705" s="307">
        <f t="shared" ca="1" si="311"/>
        <v>2.9792999999999985</v>
      </c>
      <c r="T705" s="304">
        <f t="shared" ca="1" si="291"/>
        <v>29.226932999999988</v>
      </c>
      <c r="U705" s="311">
        <f t="shared" ca="1" si="292"/>
        <v>0</v>
      </c>
      <c r="V705" s="306">
        <f t="shared" ca="1" si="293"/>
        <v>1.2263004320701294</v>
      </c>
      <c r="W705" s="304">
        <f t="shared" ca="1" si="294"/>
        <v>27.771003817048282</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0.47168677967150074</v>
      </c>
      <c r="AH705" s="304">
        <f t="shared" ca="1" si="318"/>
        <v>-9.3213002217700325</v>
      </c>
    </row>
    <row r="706" spans="1:34" x14ac:dyDescent="0.2">
      <c r="A706" s="347">
        <f t="shared" ca="1" si="296"/>
        <v>1E-4</v>
      </c>
      <c r="B706" s="304">
        <f t="shared" ca="1" si="297"/>
        <v>36.818600000000828</v>
      </c>
      <c r="D706" s="306">
        <f t="shared" ca="1" si="298"/>
        <v>-0.54872639144845459</v>
      </c>
      <c r="E706" s="307">
        <f t="shared" ca="1" si="299"/>
        <v>-0.5048468317078143</v>
      </c>
      <c r="F706" s="304">
        <f t="shared" ca="1" si="300"/>
        <v>0.74563461303607725</v>
      </c>
      <c r="G706" s="306">
        <f t="shared" ca="1" si="301"/>
        <v>6.1906403083377155</v>
      </c>
      <c r="H706" s="307">
        <f t="shared" ca="1" si="302"/>
        <v>-104.98017860489082</v>
      </c>
      <c r="I706" s="304">
        <f t="shared" ca="1" si="303"/>
        <v>105.16255002300959</v>
      </c>
      <c r="J706" s="306">
        <f t="shared" ca="1" si="304"/>
        <v>745.87074281998321</v>
      </c>
      <c r="K706" s="307">
        <f t="shared" ca="1" si="305"/>
        <v>-10.620638274895109</v>
      </c>
      <c r="L706" s="304">
        <f t="shared" ca="1" si="290"/>
        <v>745.94635393719818</v>
      </c>
      <c r="M706" s="306">
        <f t="shared" ca="1" si="306"/>
        <v>-1.5118949273419919</v>
      </c>
      <c r="N706" s="304">
        <f t="shared" ca="1" si="307"/>
        <v>-86.625198403934391</v>
      </c>
      <c r="P706" s="310">
        <f t="shared" ca="1" si="308"/>
        <v>23</v>
      </c>
      <c r="Q706" s="304">
        <f t="shared" ca="1" si="309"/>
        <v>0</v>
      </c>
      <c r="R706" s="306">
        <f t="shared" ca="1" si="310"/>
        <v>0</v>
      </c>
      <c r="S706" s="307">
        <f t="shared" ca="1" si="311"/>
        <v>2.9792999999999985</v>
      </c>
      <c r="T706" s="304">
        <f t="shared" ca="1" si="291"/>
        <v>29.226932999999988</v>
      </c>
      <c r="U706" s="311">
        <f t="shared" ca="1" si="292"/>
        <v>0</v>
      </c>
      <c r="V706" s="306">
        <f t="shared" ca="1" si="293"/>
        <v>1.226301719443242</v>
      </c>
      <c r="W706" s="304">
        <f t="shared" ca="1" si="294"/>
        <v>27.771057882543516</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0.47166894947742222</v>
      </c>
      <c r="AH706" s="304">
        <f t="shared" ca="1" si="318"/>
        <v>-9.3213183690961952</v>
      </c>
    </row>
    <row r="707" spans="1:34" x14ac:dyDescent="0.2">
      <c r="A707" s="347">
        <f t="shared" ca="1" si="296"/>
        <v>1E-4</v>
      </c>
      <c r="B707" s="304">
        <f t="shared" ca="1" si="297"/>
        <v>36.818700000000831</v>
      </c>
      <c r="D707" s="306">
        <f t="shared" ca="1" si="298"/>
        <v>-0.5487223498458953</v>
      </c>
      <c r="E707" s="307">
        <f t="shared" ca="1" si="299"/>
        <v>-0.50482841480328666</v>
      </c>
      <c r="F707" s="304">
        <f t="shared" ca="1" si="300"/>
        <v>0.74561916929032901</v>
      </c>
      <c r="G707" s="306">
        <f t="shared" ca="1" si="301"/>
        <v>6.1905854361027313</v>
      </c>
      <c r="H707" s="307">
        <f t="shared" ca="1" si="302"/>
        <v>-104.9802290877323</v>
      </c>
      <c r="I707" s="304">
        <f t="shared" ca="1" si="303"/>
        <v>105.1625971881374</v>
      </c>
      <c r="J707" s="306">
        <f t="shared" ca="1" si="304"/>
        <v>745.87074281998321</v>
      </c>
      <c r="K707" s="307">
        <f t="shared" ca="1" si="305"/>
        <v>-10.63113629527974</v>
      </c>
      <c r="L707" s="304">
        <f t="shared" ca="1" si="290"/>
        <v>745.94650347981542</v>
      </c>
      <c r="M707" s="306">
        <f t="shared" ca="1" si="306"/>
        <v>-1.5118954764808379</v>
      </c>
      <c r="N707" s="304">
        <f t="shared" ca="1" si="307"/>
        <v>-86.625229867272623</v>
      </c>
      <c r="P707" s="310">
        <f t="shared" ca="1" si="308"/>
        <v>23</v>
      </c>
      <c r="Q707" s="304">
        <f t="shared" ca="1" si="309"/>
        <v>0</v>
      </c>
      <c r="R707" s="306">
        <f t="shared" ca="1" si="310"/>
        <v>0</v>
      </c>
      <c r="S707" s="307">
        <f t="shared" ca="1" si="311"/>
        <v>2.9792999999999985</v>
      </c>
      <c r="T707" s="304">
        <f t="shared" ca="1" si="291"/>
        <v>29.226932999999988</v>
      </c>
      <c r="U707" s="311">
        <f t="shared" ca="1" si="292"/>
        <v>0</v>
      </c>
      <c r="V707" s="306">
        <f t="shared" ca="1" si="293"/>
        <v>1.2263030068183258</v>
      </c>
      <c r="W707" s="304">
        <f t="shared" ca="1" si="294"/>
        <v>27.771111947205174</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0.47165111955709271</v>
      </c>
      <c r="AH707" s="304">
        <f t="shared" ca="1" si="318"/>
        <v>-9.3213365161425603</v>
      </c>
    </row>
    <row r="708" spans="1:34" x14ac:dyDescent="0.2">
      <c r="A708" s="347">
        <f t="shared" ca="1" si="296"/>
        <v>1E-4</v>
      </c>
      <c r="B708" s="304">
        <f t="shared" ca="1" si="297"/>
        <v>36.818800000000834</v>
      </c>
      <c r="D708" s="306">
        <f t="shared" ca="1" si="298"/>
        <v>-0.54871830825668133</v>
      </c>
      <c r="E708" s="307">
        <f t="shared" ca="1" si="299"/>
        <v>-0.50480999818263861</v>
      </c>
      <c r="F708" s="304">
        <f t="shared" ca="1" si="300"/>
        <v>0.74560372590353241</v>
      </c>
      <c r="G708" s="306">
        <f t="shared" ca="1" si="301"/>
        <v>6.1905305642719055</v>
      </c>
      <c r="H708" s="307">
        <f t="shared" ca="1" si="302"/>
        <v>-104.98027956873212</v>
      </c>
      <c r="I708" s="304">
        <f t="shared" ca="1" si="303"/>
        <v>105.16264435148223</v>
      </c>
      <c r="J708" s="306">
        <f t="shared" ca="1" si="304"/>
        <v>745.87074281998321</v>
      </c>
      <c r="K708" s="307">
        <f t="shared" ca="1" si="305"/>
        <v>-10.641634320712564</v>
      </c>
      <c r="L708" s="304">
        <f t="shared" ref="L708:L771" ca="1" si="319">SQRT(pos_x^2+pos_z^2)</f>
        <v>745.94665317021781</v>
      </c>
      <c r="M708" s="306">
        <f t="shared" ca="1" si="306"/>
        <v>-1.5118960256143239</v>
      </c>
      <c r="N708" s="304">
        <f t="shared" ca="1" si="307"/>
        <v>-86.625261330303772</v>
      </c>
      <c r="P708" s="310">
        <f t="shared" ca="1" si="308"/>
        <v>23</v>
      </c>
      <c r="Q708" s="304">
        <f t="shared" ca="1" si="309"/>
        <v>0</v>
      </c>
      <c r="R708" s="306">
        <f t="shared" ca="1" si="310"/>
        <v>0</v>
      </c>
      <c r="S708" s="307">
        <f t="shared" ca="1" si="311"/>
        <v>2.9792999999999985</v>
      </c>
      <c r="T708" s="304">
        <f t="shared" ref="T708:T771" ca="1" si="320">m*g</f>
        <v>29.226932999999988</v>
      </c>
      <c r="U708" s="311">
        <f t="shared" ref="U708:U771" ca="1" si="321">IF(pos_xz&lt;L_rampe,Poids*COS(Beta),0)</f>
        <v>0</v>
      </c>
      <c r="V708" s="306">
        <f t="shared" ref="V708:V771" ca="1" si="322">Rho_moyen*(20000-Alt_rampe-pos_z)/(20000+Alt_rampe+pos_z)</f>
        <v>1.226304294195381</v>
      </c>
      <c r="W708" s="304">
        <f t="shared" ref="W708:W771" ca="1" si="323">1/2*Rho*Sref*Cx*vit_xz^2</f>
        <v>27.771166011033255</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0.47163328991050513</v>
      </c>
      <c r="AH708" s="304">
        <f t="shared" ca="1" si="318"/>
        <v>-9.3213546629091351</v>
      </c>
    </row>
    <row r="709" spans="1:34" x14ac:dyDescent="0.2">
      <c r="A709" s="347">
        <f t="shared" ref="A709:A772" ca="1" si="325">IF(B708+0.01&lt;=T_ini+ROUNDUP(Temps_fin_propu,0), 0.01, IF(K708&gt;0, 0.1, 0.0001))</f>
        <v>1E-4</v>
      </c>
      <c r="B709" s="304">
        <f t="shared" ref="B709:B772" ca="1" si="326">B708+pas</f>
        <v>36.818900000000838</v>
      </c>
      <c r="D709" s="306">
        <f t="shared" ref="D709:D772" ca="1" si="327">IF(AND(L708&lt;L_rampe,Poussee&lt;Poids*SIN(M708)),0,(-W708+Poussee)/m*COS(M708)-U708/m*SIN(M708))</f>
        <v>-0.54871426668081147</v>
      </c>
      <c r="E709" s="307">
        <f t="shared" ref="E709:E772" ca="1" si="328">IF(AND(L708&lt;L_rampe,Poussee&lt;Poids*SIN(M708)),0,(-W708+Poussee)/m*SIN(M708)+U708/m*COS(M708)-Poids/m)</f>
        <v>-0.50479158184586836</v>
      </c>
      <c r="F709" s="304">
        <f t="shared" ref="F709:F772" ca="1" si="329">SQRT(acc_x^2+acc_z^2)</f>
        <v>0.74558828287568646</v>
      </c>
      <c r="G709" s="306">
        <f t="shared" ref="G709:G772" ca="1" si="330">G708+acc_x*pas</f>
        <v>6.1904756928452374</v>
      </c>
      <c r="H709" s="307">
        <f t="shared" ref="H709:H772" ca="1" si="331">H708+acc_z*pas</f>
        <v>-104.98033004789031</v>
      </c>
      <c r="I709" s="304">
        <f t="shared" ref="I709:I772" ca="1" si="332">SQRT(vit_x^2+vit_z^2)</f>
        <v>105.16269151304415</v>
      </c>
      <c r="J709" s="306">
        <f t="shared" ref="J709:J772" ca="1" si="333">J708+0.5*(vit_x+G708)*pas*(K708&gt;=0)</f>
        <v>745.87074281998321</v>
      </c>
      <c r="K709" s="307">
        <f t="shared" ref="K709:K772" ca="1" si="334">K708+0.5*(vit_z+H708)*pas</f>
        <v>-10.652132351193394</v>
      </c>
      <c r="L709" s="304">
        <f t="shared" ca="1" si="319"/>
        <v>745.94680300840548</v>
      </c>
      <c r="M709" s="306">
        <f t="shared" ref="M709:M772" ca="1" si="335">IF(AND(L708&gt;L_rampe,G709&gt;0),ATAN2(G709,H709),$M$4)</f>
        <v>-1.51189657474245</v>
      </c>
      <c r="N709" s="304">
        <f t="shared" ref="N709:N772" ca="1" si="336">DEGREES(Beta)</f>
        <v>-86.625292793027796</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2.9792999999999985</v>
      </c>
      <c r="T709" s="304">
        <f t="shared" ca="1" si="320"/>
        <v>29.226932999999988</v>
      </c>
      <c r="U709" s="311">
        <f t="shared" ca="1" si="321"/>
        <v>0</v>
      </c>
      <c r="V709" s="306">
        <f t="shared" ca="1" si="322"/>
        <v>1.2263055815744079</v>
      </c>
      <c r="W709" s="304">
        <f t="shared" ca="1" si="323"/>
        <v>27.771220074027816</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0.47161546053765591</v>
      </c>
      <c r="AH709" s="304">
        <f t="shared" ref="AH709:AH772" ca="1" si="347">IF(AND(L708&lt;L_rampe,Poussee&lt;Poids*SIN(M708)), g*SIN(M708), (-W708+Poussee)/m)</f>
        <v>-9.3213728093959212</v>
      </c>
    </row>
    <row r="710" spans="1:34" x14ac:dyDescent="0.2">
      <c r="A710" s="347">
        <f t="shared" ca="1" si="325"/>
        <v>1E-4</v>
      </c>
      <c r="B710" s="304">
        <f t="shared" ca="1" si="326"/>
        <v>36.819000000000841</v>
      </c>
      <c r="D710" s="306">
        <f t="shared" ca="1" si="327"/>
        <v>-0.5487102251182876</v>
      </c>
      <c r="E710" s="307">
        <f t="shared" ca="1" si="328"/>
        <v>-0.50477316579295461</v>
      </c>
      <c r="F710" s="304">
        <f t="shared" ca="1" si="329"/>
        <v>0.74557284020677916</v>
      </c>
      <c r="G710" s="306">
        <f t="shared" ca="1" si="330"/>
        <v>6.1904208218227259</v>
      </c>
      <c r="H710" s="307">
        <f t="shared" ca="1" si="331"/>
        <v>-104.98038052520688</v>
      </c>
      <c r="I710" s="304">
        <f t="shared" ca="1" si="332"/>
        <v>105.16273867282315</v>
      </c>
      <c r="J710" s="306">
        <f t="shared" ca="1" si="333"/>
        <v>745.87074281998321</v>
      </c>
      <c r="K710" s="307">
        <f t="shared" ca="1" si="334"/>
        <v>-10.66263038672205</v>
      </c>
      <c r="L710" s="304">
        <f t="shared" ca="1" si="319"/>
        <v>745.94695299437842</v>
      </c>
      <c r="M710" s="306">
        <f t="shared" ca="1" si="335"/>
        <v>-1.5118971238652164</v>
      </c>
      <c r="N710" s="304">
        <f t="shared" ca="1" si="336"/>
        <v>-86.625324255444752</v>
      </c>
      <c r="P710" s="310">
        <f t="shared" ca="1" si="337"/>
        <v>23</v>
      </c>
      <c r="Q710" s="304">
        <f t="shared" ca="1" si="338"/>
        <v>0</v>
      </c>
      <c r="R710" s="306">
        <f t="shared" ca="1" si="339"/>
        <v>0</v>
      </c>
      <c r="S710" s="307">
        <f t="shared" ca="1" si="340"/>
        <v>2.9792999999999985</v>
      </c>
      <c r="T710" s="304">
        <f t="shared" ca="1" si="320"/>
        <v>29.226932999999988</v>
      </c>
      <c r="U710" s="311">
        <f t="shared" ca="1" si="321"/>
        <v>0</v>
      </c>
      <c r="V710" s="306">
        <f t="shared" ca="1" si="322"/>
        <v>1.2263068689554055</v>
      </c>
      <c r="W710" s="304">
        <f t="shared" ca="1" si="323"/>
        <v>27.771274136188801</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0.47159763143853262</v>
      </c>
      <c r="AH710" s="304">
        <f t="shared" ca="1" si="347"/>
        <v>-9.3213909556029364</v>
      </c>
    </row>
    <row r="711" spans="1:34" x14ac:dyDescent="0.2">
      <c r="A711" s="347">
        <f t="shared" ca="1" si="325"/>
        <v>1E-4</v>
      </c>
      <c r="B711" s="304">
        <f t="shared" ca="1" si="326"/>
        <v>36.819100000000844</v>
      </c>
      <c r="D711" s="306">
        <f t="shared" ca="1" si="327"/>
        <v>-0.54870618356910716</v>
      </c>
      <c r="E711" s="307">
        <f t="shared" ca="1" si="328"/>
        <v>-0.50475475002392223</v>
      </c>
      <c r="F711" s="304">
        <f t="shared" ca="1" si="329"/>
        <v>0.74555739789682651</v>
      </c>
      <c r="G711" s="306">
        <f t="shared" ca="1" si="330"/>
        <v>6.1903659512043694</v>
      </c>
      <c r="H711" s="307">
        <f t="shared" ca="1" si="331"/>
        <v>-104.98043100068189</v>
      </c>
      <c r="I711" s="304">
        <f t="shared" ca="1" si="332"/>
        <v>105.16278583081927</v>
      </c>
      <c r="J711" s="306">
        <f t="shared" ca="1" si="333"/>
        <v>745.87074281998321</v>
      </c>
      <c r="K711" s="307">
        <f t="shared" ca="1" si="334"/>
        <v>-10.673128427298344</v>
      </c>
      <c r="L711" s="304">
        <f t="shared" ca="1" si="319"/>
        <v>745.94710312813675</v>
      </c>
      <c r="M711" s="306">
        <f t="shared" ca="1" si="335"/>
        <v>-1.5118976729826228</v>
      </c>
      <c r="N711" s="304">
        <f t="shared" ca="1" si="336"/>
        <v>-86.625355717554598</v>
      </c>
      <c r="P711" s="310">
        <f t="shared" ca="1" si="337"/>
        <v>23</v>
      </c>
      <c r="Q711" s="304">
        <f t="shared" ca="1" si="338"/>
        <v>0</v>
      </c>
      <c r="R711" s="306">
        <f t="shared" ca="1" si="339"/>
        <v>0</v>
      </c>
      <c r="S711" s="307">
        <f t="shared" ca="1" si="340"/>
        <v>2.9792999999999985</v>
      </c>
      <c r="T711" s="304">
        <f t="shared" ca="1" si="320"/>
        <v>29.226932999999988</v>
      </c>
      <c r="U711" s="311">
        <f t="shared" ca="1" si="321"/>
        <v>0</v>
      </c>
      <c r="V711" s="306">
        <f t="shared" ca="1" si="322"/>
        <v>1.226308156338374</v>
      </c>
      <c r="W711" s="304">
        <f t="shared" ca="1" si="323"/>
        <v>27.771328197516233</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0.47157980261314592</v>
      </c>
      <c r="AH711" s="304">
        <f t="shared" ca="1" si="347"/>
        <v>-9.321409101530163</v>
      </c>
    </row>
    <row r="712" spans="1:34" x14ac:dyDescent="0.2">
      <c r="A712" s="347">
        <f t="shared" ca="1" si="325"/>
        <v>1E-4</v>
      </c>
      <c r="B712" s="304">
        <f t="shared" ca="1" si="326"/>
        <v>36.819200000000848</v>
      </c>
      <c r="D712" s="306">
        <f t="shared" ca="1" si="327"/>
        <v>-0.5487021420332735</v>
      </c>
      <c r="E712" s="307">
        <f t="shared" ca="1" si="328"/>
        <v>-0.50473633453875699</v>
      </c>
      <c r="F712" s="304">
        <f t="shared" ca="1" si="329"/>
        <v>0.7455419559458224</v>
      </c>
      <c r="G712" s="306">
        <f t="shared" ca="1" si="330"/>
        <v>6.190311080990166</v>
      </c>
      <c r="H712" s="307">
        <f t="shared" ca="1" si="331"/>
        <v>-104.98048147431534</v>
      </c>
      <c r="I712" s="304">
        <f t="shared" ca="1" si="332"/>
        <v>105.16283298703252</v>
      </c>
      <c r="J712" s="306">
        <f t="shared" ca="1" si="333"/>
        <v>745.87074281998321</v>
      </c>
      <c r="K712" s="307">
        <f t="shared" ca="1" si="334"/>
        <v>-10.683626472922095</v>
      </c>
      <c r="L712" s="304">
        <f t="shared" ca="1" si="319"/>
        <v>745.94725340968068</v>
      </c>
      <c r="M712" s="306">
        <f t="shared" ca="1" si="335"/>
        <v>-1.5118982220946695</v>
      </c>
      <c r="N712" s="304">
        <f t="shared" ca="1" si="336"/>
        <v>-86.625387179357347</v>
      </c>
      <c r="P712" s="310">
        <f t="shared" ca="1" si="337"/>
        <v>23</v>
      </c>
      <c r="Q712" s="304">
        <f t="shared" ca="1" si="338"/>
        <v>0</v>
      </c>
      <c r="R712" s="306">
        <f t="shared" ca="1" si="339"/>
        <v>0</v>
      </c>
      <c r="S712" s="307">
        <f t="shared" ca="1" si="340"/>
        <v>2.9792999999999985</v>
      </c>
      <c r="T712" s="304">
        <f t="shared" ca="1" si="320"/>
        <v>29.226932999999988</v>
      </c>
      <c r="U712" s="311">
        <f t="shared" ca="1" si="321"/>
        <v>0</v>
      </c>
      <c r="V712" s="306">
        <f t="shared" ca="1" si="322"/>
        <v>1.2263094437233142</v>
      </c>
      <c r="W712" s="304">
        <f t="shared" ca="1" si="323"/>
        <v>27.771382258010146</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0.4715619740614958</v>
      </c>
      <c r="AH712" s="304">
        <f t="shared" ca="1" si="347"/>
        <v>-9.3214272471776081</v>
      </c>
    </row>
    <row r="713" spans="1:34" x14ac:dyDescent="0.2">
      <c r="A713" s="347">
        <f t="shared" ca="1" si="325"/>
        <v>1E-4</v>
      </c>
      <c r="B713" s="304">
        <f t="shared" ca="1" si="326"/>
        <v>36.819300000000851</v>
      </c>
      <c r="D713" s="306">
        <f t="shared" ca="1" si="327"/>
        <v>-0.54869810051078605</v>
      </c>
      <c r="E713" s="307">
        <f t="shared" ca="1" si="328"/>
        <v>-0.5047179193374518</v>
      </c>
      <c r="F713" s="304">
        <f t="shared" ca="1" si="329"/>
        <v>0.74552651435376271</v>
      </c>
      <c r="G713" s="306">
        <f t="shared" ca="1" si="330"/>
        <v>6.1902562111801149</v>
      </c>
      <c r="H713" s="307">
        <f t="shared" ca="1" si="331"/>
        <v>-104.98053194610728</v>
      </c>
      <c r="I713" s="304">
        <f t="shared" ca="1" si="332"/>
        <v>105.16288014146296</v>
      </c>
      <c r="J713" s="306">
        <f t="shared" ca="1" si="333"/>
        <v>745.87074281998321</v>
      </c>
      <c r="K713" s="307">
        <f t="shared" ca="1" si="334"/>
        <v>-10.694124523593116</v>
      </c>
      <c r="L713" s="304">
        <f t="shared" ca="1" si="319"/>
        <v>745.94740383901035</v>
      </c>
      <c r="M713" s="306">
        <f t="shared" ca="1" si="335"/>
        <v>-1.5118987712013565</v>
      </c>
      <c r="N713" s="304">
        <f t="shared" ca="1" si="336"/>
        <v>-86.625418640853027</v>
      </c>
      <c r="P713" s="310">
        <f t="shared" ca="1" si="337"/>
        <v>23</v>
      </c>
      <c r="Q713" s="304">
        <f t="shared" ca="1" si="338"/>
        <v>0</v>
      </c>
      <c r="R713" s="306">
        <f t="shared" ca="1" si="339"/>
        <v>0</v>
      </c>
      <c r="S713" s="307">
        <f t="shared" ca="1" si="340"/>
        <v>2.9792999999999985</v>
      </c>
      <c r="T713" s="304">
        <f t="shared" ca="1" si="320"/>
        <v>29.226932999999988</v>
      </c>
      <c r="U713" s="311">
        <f t="shared" ca="1" si="321"/>
        <v>0</v>
      </c>
      <c r="V713" s="306">
        <f t="shared" ca="1" si="322"/>
        <v>1.2263107311102257</v>
      </c>
      <c r="W713" s="304">
        <f t="shared" ca="1" si="323"/>
        <v>27.771436317670563</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0.47154414578356807</v>
      </c>
      <c r="AH713" s="304">
        <f t="shared" ca="1" si="347"/>
        <v>-9.3214453925452823</v>
      </c>
    </row>
    <row r="714" spans="1:34" x14ac:dyDescent="0.2">
      <c r="A714" s="347">
        <f t="shared" ca="1" si="325"/>
        <v>1E-4</v>
      </c>
      <c r="B714" s="304">
        <f t="shared" ca="1" si="326"/>
        <v>36.819400000000854</v>
      </c>
      <c r="D714" s="306">
        <f t="shared" ca="1" si="327"/>
        <v>-0.54869405900164603</v>
      </c>
      <c r="E714" s="307">
        <f t="shared" ca="1" si="328"/>
        <v>-0.50469950441999778</v>
      </c>
      <c r="F714" s="304">
        <f t="shared" ca="1" si="329"/>
        <v>0.74551107312064324</v>
      </c>
      <c r="G714" s="306">
        <f t="shared" ca="1" si="330"/>
        <v>6.1902013417742143</v>
      </c>
      <c r="H714" s="307">
        <f t="shared" ca="1" si="331"/>
        <v>-104.98058241605771</v>
      </c>
      <c r="I714" s="304">
        <f t="shared" ca="1" si="332"/>
        <v>105.16292729411059</v>
      </c>
      <c r="J714" s="306">
        <f t="shared" ca="1" si="333"/>
        <v>745.87074281998321</v>
      </c>
      <c r="K714" s="307">
        <f t="shared" ca="1" si="334"/>
        <v>-10.704622579311224</v>
      </c>
      <c r="L714" s="304">
        <f t="shared" ca="1" si="319"/>
        <v>745.94755441612585</v>
      </c>
      <c r="M714" s="306">
        <f t="shared" ca="1" si="335"/>
        <v>-1.511899320302684</v>
      </c>
      <c r="N714" s="304">
        <f t="shared" ca="1" si="336"/>
        <v>-86.625450102041611</v>
      </c>
      <c r="P714" s="310">
        <f t="shared" ca="1" si="337"/>
        <v>23</v>
      </c>
      <c r="Q714" s="304">
        <f t="shared" ca="1" si="338"/>
        <v>0</v>
      </c>
      <c r="R714" s="306">
        <f t="shared" ca="1" si="339"/>
        <v>0</v>
      </c>
      <c r="S714" s="307">
        <f t="shared" ca="1" si="340"/>
        <v>2.9792999999999985</v>
      </c>
      <c r="T714" s="304">
        <f t="shared" ca="1" si="320"/>
        <v>29.226932999999988</v>
      </c>
      <c r="U714" s="311">
        <f t="shared" ca="1" si="321"/>
        <v>0</v>
      </c>
      <c r="V714" s="306">
        <f t="shared" ca="1" si="322"/>
        <v>1.2263120184991085</v>
      </c>
      <c r="W714" s="304">
        <f t="shared" ca="1" si="323"/>
        <v>27.771490376497464</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0.47152631777935383</v>
      </c>
      <c r="AH714" s="304">
        <f t="shared" ca="1" si="347"/>
        <v>-9.3214635376331945</v>
      </c>
    </row>
    <row r="715" spans="1:34" x14ac:dyDescent="0.2">
      <c r="A715" s="347">
        <f t="shared" ca="1" si="325"/>
        <v>1E-4</v>
      </c>
      <c r="B715" s="304">
        <f t="shared" ca="1" si="326"/>
        <v>36.819500000000858</v>
      </c>
      <c r="D715" s="306">
        <f t="shared" ca="1" si="327"/>
        <v>-0.54869001750585156</v>
      </c>
      <c r="E715" s="307">
        <f t="shared" ca="1" si="328"/>
        <v>-0.50468108978640025</v>
      </c>
      <c r="F715" s="304">
        <f t="shared" ca="1" si="329"/>
        <v>0.74549563224646742</v>
      </c>
      <c r="G715" s="306">
        <f t="shared" ca="1" si="330"/>
        <v>6.1901464727724633</v>
      </c>
      <c r="H715" s="307">
        <f t="shared" ca="1" si="331"/>
        <v>-104.9806328841667</v>
      </c>
      <c r="I715" s="304">
        <f t="shared" ca="1" si="332"/>
        <v>105.16297444497545</v>
      </c>
      <c r="J715" s="306">
        <f t="shared" ca="1" si="333"/>
        <v>745.87074281998321</v>
      </c>
      <c r="K715" s="307">
        <f t="shared" ca="1" si="334"/>
        <v>-10.715120640076234</v>
      </c>
      <c r="L715" s="304">
        <f t="shared" ca="1" si="319"/>
        <v>745.9477051410272</v>
      </c>
      <c r="M715" s="306">
        <f t="shared" ca="1" si="335"/>
        <v>-1.5118998693986521</v>
      </c>
      <c r="N715" s="304">
        <f t="shared" ca="1" si="336"/>
        <v>-86.625481562923127</v>
      </c>
      <c r="P715" s="310">
        <f t="shared" ca="1" si="337"/>
        <v>23</v>
      </c>
      <c r="Q715" s="304">
        <f t="shared" ca="1" si="338"/>
        <v>0</v>
      </c>
      <c r="R715" s="306">
        <f t="shared" ca="1" si="339"/>
        <v>0</v>
      </c>
      <c r="S715" s="307">
        <f t="shared" ca="1" si="340"/>
        <v>2.9792999999999985</v>
      </c>
      <c r="T715" s="304">
        <f t="shared" ca="1" si="320"/>
        <v>29.226932999999988</v>
      </c>
      <c r="U715" s="311">
        <f t="shared" ca="1" si="321"/>
        <v>0</v>
      </c>
      <c r="V715" s="306">
        <f t="shared" ca="1" si="322"/>
        <v>1.226313305889962</v>
      </c>
      <c r="W715" s="304">
        <f t="shared" ca="1" si="323"/>
        <v>27.771544434490853</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0.47150849004886197</v>
      </c>
      <c r="AH715" s="304">
        <f t="shared" ca="1" si="347"/>
        <v>-9.3214816824413376</v>
      </c>
    </row>
    <row r="716" spans="1:34" x14ac:dyDescent="0.2">
      <c r="A716" s="347">
        <f t="shared" ca="1" si="325"/>
        <v>1E-4</v>
      </c>
      <c r="B716" s="304">
        <f t="shared" ca="1" si="326"/>
        <v>36.819600000000861</v>
      </c>
      <c r="D716" s="306">
        <f t="shared" ca="1" si="327"/>
        <v>-0.54868597602340363</v>
      </c>
      <c r="E716" s="307">
        <f t="shared" ca="1" si="328"/>
        <v>-0.50466267543665921</v>
      </c>
      <c r="F716" s="304">
        <f t="shared" ca="1" si="329"/>
        <v>0.74548019173123703</v>
      </c>
      <c r="G716" s="306">
        <f t="shared" ca="1" si="330"/>
        <v>6.190091604174861</v>
      </c>
      <c r="H716" s="307">
        <f t="shared" ca="1" si="331"/>
        <v>-104.98068335043423</v>
      </c>
      <c r="I716" s="304">
        <f t="shared" ca="1" si="332"/>
        <v>105.16302159405755</v>
      </c>
      <c r="J716" s="306">
        <f t="shared" ca="1" si="333"/>
        <v>745.87074281998321</v>
      </c>
      <c r="K716" s="307">
        <f t="shared" ca="1" si="334"/>
        <v>-10.725618705887964</v>
      </c>
      <c r="L716" s="304">
        <f t="shared" ca="1" si="319"/>
        <v>745.94785601371473</v>
      </c>
      <c r="M716" s="306">
        <f t="shared" ca="1" si="335"/>
        <v>-1.5119004184892604</v>
      </c>
      <c r="N716" s="304">
        <f t="shared" ca="1" si="336"/>
        <v>-86.625513023497561</v>
      </c>
      <c r="P716" s="310">
        <f t="shared" ca="1" si="337"/>
        <v>23</v>
      </c>
      <c r="Q716" s="304">
        <f t="shared" ca="1" si="338"/>
        <v>0</v>
      </c>
      <c r="R716" s="306">
        <f t="shared" ca="1" si="339"/>
        <v>0</v>
      </c>
      <c r="S716" s="307">
        <f t="shared" ca="1" si="340"/>
        <v>2.9792999999999985</v>
      </c>
      <c r="T716" s="304">
        <f t="shared" ca="1" si="320"/>
        <v>29.226932999999988</v>
      </c>
      <c r="U716" s="311">
        <f t="shared" ca="1" si="321"/>
        <v>0</v>
      </c>
      <c r="V716" s="306">
        <f t="shared" ca="1" si="322"/>
        <v>1.2263145932827866</v>
      </c>
      <c r="W716" s="304">
        <f t="shared" ca="1" si="323"/>
        <v>27.771598491650753</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0.47149066259208894</v>
      </c>
      <c r="AH716" s="304">
        <f t="shared" ca="1" si="347"/>
        <v>-9.3214998269697134</v>
      </c>
    </row>
    <row r="717" spans="1:34" x14ac:dyDescent="0.2">
      <c r="A717" s="347">
        <f t="shared" ca="1" si="325"/>
        <v>1E-4</v>
      </c>
      <c r="B717" s="304">
        <f t="shared" ca="1" si="326"/>
        <v>36.819700000000864</v>
      </c>
      <c r="D717" s="306">
        <f t="shared" ca="1" si="327"/>
        <v>-0.54868193455430547</v>
      </c>
      <c r="E717" s="307">
        <f t="shared" ca="1" si="328"/>
        <v>-0.50464426137076757</v>
      </c>
      <c r="F717" s="304">
        <f t="shared" ca="1" si="329"/>
        <v>0.74546475157495051</v>
      </c>
      <c r="G717" s="306">
        <f t="shared" ca="1" si="330"/>
        <v>6.1900367359814057</v>
      </c>
      <c r="H717" s="307">
        <f t="shared" ca="1" si="331"/>
        <v>-104.98073381486037</v>
      </c>
      <c r="I717" s="304">
        <f t="shared" ca="1" si="332"/>
        <v>105.16306874135695</v>
      </c>
      <c r="J717" s="306">
        <f t="shared" ca="1" si="333"/>
        <v>745.87074281998321</v>
      </c>
      <c r="K717" s="307">
        <f t="shared" ca="1" si="334"/>
        <v>-10.736116776746229</v>
      </c>
      <c r="L717" s="304">
        <f t="shared" ca="1" si="319"/>
        <v>745.94800703418832</v>
      </c>
      <c r="M717" s="306">
        <f t="shared" ca="1" si="335"/>
        <v>-1.5119009675745094</v>
      </c>
      <c r="N717" s="304">
        <f t="shared" ca="1" si="336"/>
        <v>-86.625544483764912</v>
      </c>
      <c r="P717" s="310">
        <f t="shared" ca="1" si="337"/>
        <v>23</v>
      </c>
      <c r="Q717" s="304">
        <f t="shared" ca="1" si="338"/>
        <v>0</v>
      </c>
      <c r="R717" s="306">
        <f t="shared" ca="1" si="339"/>
        <v>0</v>
      </c>
      <c r="S717" s="307">
        <f t="shared" ca="1" si="340"/>
        <v>2.9792999999999985</v>
      </c>
      <c r="T717" s="304">
        <f t="shared" ca="1" si="320"/>
        <v>29.226932999999988</v>
      </c>
      <c r="U717" s="311">
        <f t="shared" ca="1" si="321"/>
        <v>0</v>
      </c>
      <c r="V717" s="306">
        <f t="shared" ca="1" si="322"/>
        <v>1.2263158806775825</v>
      </c>
      <c r="W717" s="304">
        <f t="shared" ca="1" si="323"/>
        <v>27.77165254797719</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0.4714728354090294</v>
      </c>
      <c r="AH717" s="304">
        <f t="shared" ca="1" si="347"/>
        <v>-9.3215179712183289</v>
      </c>
    </row>
    <row r="718" spans="1:34" x14ac:dyDescent="0.2">
      <c r="A718" s="347">
        <f t="shared" ca="1" si="325"/>
        <v>1E-4</v>
      </c>
      <c r="B718" s="304">
        <f t="shared" ca="1" si="326"/>
        <v>36.819800000000868</v>
      </c>
      <c r="D718" s="306">
        <f t="shared" ca="1" si="327"/>
        <v>-0.5486778930985543</v>
      </c>
      <c r="E718" s="307">
        <f t="shared" ca="1" si="328"/>
        <v>-0.50462584758871287</v>
      </c>
      <c r="F718" s="304">
        <f t="shared" ca="1" si="329"/>
        <v>0.74544931177759866</v>
      </c>
      <c r="G718" s="306">
        <f t="shared" ca="1" si="330"/>
        <v>6.1899818681920955</v>
      </c>
      <c r="H718" s="307">
        <f t="shared" ca="1" si="331"/>
        <v>-104.98078427744512</v>
      </c>
      <c r="I718" s="304">
        <f t="shared" ca="1" si="332"/>
        <v>105.16311588687365</v>
      </c>
      <c r="J718" s="306">
        <f t="shared" ca="1" si="333"/>
        <v>745.87074281998321</v>
      </c>
      <c r="K718" s="307">
        <f t="shared" ca="1" si="334"/>
        <v>-10.746614852650845</v>
      </c>
      <c r="L718" s="304">
        <f t="shared" ca="1" si="319"/>
        <v>745.94815820244821</v>
      </c>
      <c r="M718" s="306">
        <f t="shared" ca="1" si="335"/>
        <v>-1.5119015166543992</v>
      </c>
      <c r="N718" s="304">
        <f t="shared" ca="1" si="336"/>
        <v>-86.625575943725224</v>
      </c>
      <c r="P718" s="310">
        <f t="shared" ca="1" si="337"/>
        <v>23</v>
      </c>
      <c r="Q718" s="304">
        <f t="shared" ca="1" si="338"/>
        <v>0</v>
      </c>
      <c r="R718" s="306">
        <f t="shared" ca="1" si="339"/>
        <v>0</v>
      </c>
      <c r="S718" s="307">
        <f t="shared" ca="1" si="340"/>
        <v>2.9792999999999985</v>
      </c>
      <c r="T718" s="304">
        <f t="shared" ca="1" si="320"/>
        <v>29.226932999999988</v>
      </c>
      <c r="U718" s="311">
        <f t="shared" ca="1" si="321"/>
        <v>0</v>
      </c>
      <c r="V718" s="306">
        <f t="shared" ca="1" si="322"/>
        <v>1.2263171680743494</v>
      </c>
      <c r="W718" s="304">
        <f t="shared" ca="1" si="323"/>
        <v>27.771706603470147</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0.4714550084996727</v>
      </c>
      <c r="AH718" s="304">
        <f t="shared" ca="1" si="347"/>
        <v>-9.3215361151871932</v>
      </c>
    </row>
    <row r="719" spans="1:34" x14ac:dyDescent="0.2">
      <c r="A719" s="347">
        <f t="shared" ca="1" si="325"/>
        <v>1E-4</v>
      </c>
      <c r="B719" s="304">
        <f t="shared" ca="1" si="326"/>
        <v>36.819900000000871</v>
      </c>
      <c r="D719" s="306">
        <f t="shared" ca="1" si="327"/>
        <v>-0.54867385165615035</v>
      </c>
      <c r="E719" s="307">
        <f t="shared" ca="1" si="328"/>
        <v>-0.50460743409050579</v>
      </c>
      <c r="F719" s="304">
        <f t="shared" ca="1" si="329"/>
        <v>0.74543387233918967</v>
      </c>
      <c r="G719" s="306">
        <f t="shared" ca="1" si="330"/>
        <v>6.1899270008069296</v>
      </c>
      <c r="H719" s="307">
        <f t="shared" ca="1" si="331"/>
        <v>-104.98083473818853</v>
      </c>
      <c r="I719" s="304">
        <f t="shared" ca="1" si="332"/>
        <v>105.16316303060769</v>
      </c>
      <c r="J719" s="306">
        <f t="shared" ca="1" si="333"/>
        <v>745.87074281998321</v>
      </c>
      <c r="K719" s="307">
        <f t="shared" ca="1" si="334"/>
        <v>-10.757112933601627</v>
      </c>
      <c r="L719" s="304">
        <f t="shared" ca="1" si="319"/>
        <v>745.94830951849451</v>
      </c>
      <c r="M719" s="306">
        <f t="shared" ca="1" si="335"/>
        <v>-1.5119020657289295</v>
      </c>
      <c r="N719" s="304">
        <f t="shared" ca="1" si="336"/>
        <v>-86.625607403378439</v>
      </c>
      <c r="P719" s="310">
        <f t="shared" ca="1" si="337"/>
        <v>23</v>
      </c>
      <c r="Q719" s="304">
        <f t="shared" ca="1" si="338"/>
        <v>0</v>
      </c>
      <c r="R719" s="306">
        <f t="shared" ca="1" si="339"/>
        <v>0</v>
      </c>
      <c r="S719" s="307">
        <f t="shared" ca="1" si="340"/>
        <v>2.9792999999999985</v>
      </c>
      <c r="T719" s="304">
        <f t="shared" ca="1" si="320"/>
        <v>29.226932999999988</v>
      </c>
      <c r="U719" s="311">
        <f t="shared" ca="1" si="321"/>
        <v>0</v>
      </c>
      <c r="V719" s="306">
        <f t="shared" ca="1" si="322"/>
        <v>1.2263184554730875</v>
      </c>
      <c r="W719" s="304">
        <f t="shared" ca="1" si="323"/>
        <v>27.771760658129651</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0.47143718186402772</v>
      </c>
      <c r="AH719" s="304">
        <f t="shared" ca="1" si="347"/>
        <v>-9.3215542588763007</v>
      </c>
    </row>
    <row r="720" spans="1:34" x14ac:dyDescent="0.2">
      <c r="A720" s="347">
        <f t="shared" ca="1" si="325"/>
        <v>1E-4</v>
      </c>
      <c r="B720" s="304">
        <f t="shared" ca="1" si="326"/>
        <v>36.820000000000874</v>
      </c>
      <c r="D720" s="306">
        <f t="shared" ca="1" si="327"/>
        <v>-0.54866981022709715</v>
      </c>
      <c r="E720" s="307">
        <f t="shared" ca="1" si="328"/>
        <v>-0.50458902087613389</v>
      </c>
      <c r="F720" s="304">
        <f t="shared" ca="1" si="329"/>
        <v>0.74541843325971913</v>
      </c>
      <c r="G720" s="306">
        <f t="shared" ca="1" si="330"/>
        <v>6.1898721338259071</v>
      </c>
      <c r="H720" s="307">
        <f t="shared" ca="1" si="331"/>
        <v>-104.98088519709061</v>
      </c>
      <c r="I720" s="304">
        <f t="shared" ca="1" si="332"/>
        <v>105.16321017255908</v>
      </c>
      <c r="J720" s="306">
        <f t="shared" ca="1" si="333"/>
        <v>745.87074281998321</v>
      </c>
      <c r="K720" s="307">
        <f t="shared" ca="1" si="334"/>
        <v>-10.767611019598391</v>
      </c>
      <c r="L720" s="304">
        <f t="shared" ca="1" si="319"/>
        <v>745.94846098232745</v>
      </c>
      <c r="M720" s="306">
        <f t="shared" ca="1" si="335"/>
        <v>-1.5119026147981007</v>
      </c>
      <c r="N720" s="304">
        <f t="shared" ca="1" si="336"/>
        <v>-86.625638862724614</v>
      </c>
      <c r="P720" s="310">
        <f t="shared" ca="1" si="337"/>
        <v>23</v>
      </c>
      <c r="Q720" s="304">
        <f t="shared" ca="1" si="338"/>
        <v>0</v>
      </c>
      <c r="R720" s="306">
        <f t="shared" ca="1" si="339"/>
        <v>0</v>
      </c>
      <c r="S720" s="307">
        <f t="shared" ca="1" si="340"/>
        <v>2.9792999999999985</v>
      </c>
      <c r="T720" s="304">
        <f t="shared" ca="1" si="320"/>
        <v>29.226932999999988</v>
      </c>
      <c r="U720" s="311">
        <f t="shared" ca="1" si="321"/>
        <v>0</v>
      </c>
      <c r="V720" s="306">
        <f t="shared" ca="1" si="322"/>
        <v>1.2263197428737964</v>
      </c>
      <c r="W720" s="304">
        <f t="shared" ca="1" si="323"/>
        <v>27.771814711955692</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0.4714193555020838</v>
      </c>
      <c r="AH720" s="304">
        <f t="shared" ca="1" si="347"/>
        <v>-9.3215724022856588</v>
      </c>
    </row>
    <row r="721" spans="1:34" x14ac:dyDescent="0.2">
      <c r="A721" s="347">
        <f t="shared" ca="1" si="325"/>
        <v>1E-4</v>
      </c>
      <c r="B721" s="304">
        <f t="shared" ca="1" si="326"/>
        <v>36.820100000000878</v>
      </c>
      <c r="D721" s="306">
        <f t="shared" ca="1" si="327"/>
        <v>-0.54866576881139106</v>
      </c>
      <c r="E721" s="307">
        <f t="shared" ca="1" si="328"/>
        <v>-0.50457060794560249</v>
      </c>
      <c r="F721" s="304">
        <f t="shared" ca="1" si="329"/>
        <v>0.74540299453918868</v>
      </c>
      <c r="G721" s="306">
        <f t="shared" ca="1" si="330"/>
        <v>6.1898172672490261</v>
      </c>
      <c r="H721" s="307">
        <f t="shared" ca="1" si="331"/>
        <v>-104.98093565415141</v>
      </c>
      <c r="I721" s="304">
        <f t="shared" ca="1" si="332"/>
        <v>105.16325731272788</v>
      </c>
      <c r="J721" s="306">
        <f t="shared" ca="1" si="333"/>
        <v>745.87074281998321</v>
      </c>
      <c r="K721" s="307">
        <f t="shared" ca="1" si="334"/>
        <v>-10.778109110640953</v>
      </c>
      <c r="L721" s="304">
        <f t="shared" ca="1" si="319"/>
        <v>745.94861259394702</v>
      </c>
      <c r="M721" s="306">
        <f t="shared" ca="1" si="335"/>
        <v>-1.5119031638619127</v>
      </c>
      <c r="N721" s="304">
        <f t="shared" ca="1" si="336"/>
        <v>-86.625670321763721</v>
      </c>
      <c r="P721" s="310">
        <f t="shared" ca="1" si="337"/>
        <v>23</v>
      </c>
      <c r="Q721" s="304">
        <f t="shared" ca="1" si="338"/>
        <v>0</v>
      </c>
      <c r="R721" s="306">
        <f t="shared" ca="1" si="339"/>
        <v>0</v>
      </c>
      <c r="S721" s="307">
        <f t="shared" ca="1" si="340"/>
        <v>2.9792999999999985</v>
      </c>
      <c r="T721" s="304">
        <f t="shared" ca="1" si="320"/>
        <v>29.226932999999988</v>
      </c>
      <c r="U721" s="311">
        <f t="shared" ca="1" si="321"/>
        <v>0</v>
      </c>
      <c r="V721" s="306">
        <f t="shared" ca="1" si="322"/>
        <v>1.2263210302764767</v>
      </c>
      <c r="W721" s="304">
        <f t="shared" ca="1" si="323"/>
        <v>27.771868764948312</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0.47140152941384095</v>
      </c>
      <c r="AH721" s="304">
        <f t="shared" ca="1" si="347"/>
        <v>-9.3215905454152672</v>
      </c>
    </row>
    <row r="722" spans="1:34" x14ac:dyDescent="0.2">
      <c r="A722" s="347">
        <f t="shared" ca="1" si="325"/>
        <v>1E-4</v>
      </c>
      <c r="B722" s="304">
        <f t="shared" ca="1" si="326"/>
        <v>36.820200000000881</v>
      </c>
      <c r="D722" s="306">
        <f t="shared" ca="1" si="327"/>
        <v>-0.54866172740903585</v>
      </c>
      <c r="E722" s="307">
        <f t="shared" ca="1" si="328"/>
        <v>-0.50455219529889384</v>
      </c>
      <c r="F722" s="304">
        <f t="shared" ca="1" si="329"/>
        <v>0.74538755617759023</v>
      </c>
      <c r="G722" s="306">
        <f t="shared" ca="1" si="330"/>
        <v>6.1897624010762851</v>
      </c>
      <c r="H722" s="307">
        <f t="shared" ca="1" si="331"/>
        <v>-104.98098610937095</v>
      </c>
      <c r="I722" s="304">
        <f t="shared" ca="1" si="332"/>
        <v>105.16330445111409</v>
      </c>
      <c r="J722" s="306">
        <f t="shared" ca="1" si="333"/>
        <v>745.87074281998321</v>
      </c>
      <c r="K722" s="307">
        <f t="shared" ca="1" si="334"/>
        <v>-10.788607206729129</v>
      </c>
      <c r="L722" s="304">
        <f t="shared" ca="1" si="319"/>
        <v>745.94876435335334</v>
      </c>
      <c r="M722" s="306">
        <f t="shared" ca="1" si="335"/>
        <v>-1.5119037129203658</v>
      </c>
      <c r="N722" s="304">
        <f t="shared" ca="1" si="336"/>
        <v>-86.625701780495788</v>
      </c>
      <c r="P722" s="310">
        <f t="shared" ca="1" si="337"/>
        <v>23</v>
      </c>
      <c r="Q722" s="304">
        <f t="shared" ca="1" si="338"/>
        <v>0</v>
      </c>
      <c r="R722" s="306">
        <f t="shared" ca="1" si="339"/>
        <v>0</v>
      </c>
      <c r="S722" s="307">
        <f t="shared" ca="1" si="340"/>
        <v>2.9792999999999985</v>
      </c>
      <c r="T722" s="304">
        <f t="shared" ca="1" si="320"/>
        <v>29.226932999999988</v>
      </c>
      <c r="U722" s="311">
        <f t="shared" ca="1" si="321"/>
        <v>0</v>
      </c>
      <c r="V722" s="306">
        <f t="shared" ca="1" si="322"/>
        <v>1.2263223176811278</v>
      </c>
      <c r="W722" s="304">
        <f t="shared" ca="1" si="323"/>
        <v>27.771922817107498</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0.47138370359929027</v>
      </c>
      <c r="AH722" s="304">
        <f t="shared" ca="1" si="347"/>
        <v>-9.3216086882651386</v>
      </c>
    </row>
    <row r="723" spans="1:34" x14ac:dyDescent="0.2">
      <c r="A723" s="347">
        <f t="shared" ca="1" si="325"/>
        <v>1E-4</v>
      </c>
      <c r="B723" s="304">
        <f t="shared" ca="1" si="326"/>
        <v>36.820300000000884</v>
      </c>
      <c r="D723" s="306">
        <f t="shared" ca="1" si="327"/>
        <v>-0.54865768602002762</v>
      </c>
      <c r="E723" s="307">
        <f t="shared" ca="1" si="328"/>
        <v>-0.50453378293601681</v>
      </c>
      <c r="F723" s="304">
        <f t="shared" ca="1" si="329"/>
        <v>0.7453721181749281</v>
      </c>
      <c r="G723" s="306">
        <f t="shared" ca="1" si="330"/>
        <v>6.1897075353076829</v>
      </c>
      <c r="H723" s="307">
        <f t="shared" ca="1" si="331"/>
        <v>-104.98103656274924</v>
      </c>
      <c r="I723" s="304">
        <f t="shared" ca="1" si="332"/>
        <v>105.16335158771776</v>
      </c>
      <c r="J723" s="306">
        <f t="shared" ca="1" si="333"/>
        <v>745.87074281998321</v>
      </c>
      <c r="K723" s="307">
        <f t="shared" ca="1" si="334"/>
        <v>-10.799105307862735</v>
      </c>
      <c r="L723" s="304">
        <f t="shared" ca="1" si="319"/>
        <v>745.94891626054653</v>
      </c>
      <c r="M723" s="306">
        <f t="shared" ca="1" si="335"/>
        <v>-1.5119042619734597</v>
      </c>
      <c r="N723" s="304">
        <f t="shared" ca="1" si="336"/>
        <v>-86.625733238920802</v>
      </c>
      <c r="P723" s="310">
        <f t="shared" ca="1" si="337"/>
        <v>23</v>
      </c>
      <c r="Q723" s="304">
        <f t="shared" ca="1" si="338"/>
        <v>0</v>
      </c>
      <c r="R723" s="306">
        <f t="shared" ca="1" si="339"/>
        <v>0</v>
      </c>
      <c r="S723" s="307">
        <f t="shared" ca="1" si="340"/>
        <v>2.9792999999999985</v>
      </c>
      <c r="T723" s="304">
        <f t="shared" ca="1" si="320"/>
        <v>29.226932999999988</v>
      </c>
      <c r="U723" s="311">
        <f t="shared" ca="1" si="321"/>
        <v>0</v>
      </c>
      <c r="V723" s="306">
        <f t="shared" ca="1" si="322"/>
        <v>1.2263236050877495</v>
      </c>
      <c r="W723" s="304">
        <f t="shared" ca="1" si="323"/>
        <v>27.771976868433267</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0.4713658780584371</v>
      </c>
      <c r="AH723" s="304">
        <f t="shared" ca="1" si="347"/>
        <v>-9.3216268308352674</v>
      </c>
    </row>
    <row r="724" spans="1:34" x14ac:dyDescent="0.2">
      <c r="A724" s="347">
        <f t="shared" ca="1" si="325"/>
        <v>1E-4</v>
      </c>
      <c r="B724" s="304">
        <f t="shared" ca="1" si="326"/>
        <v>36.820400000000888</v>
      </c>
      <c r="D724" s="306">
        <f t="shared" ca="1" si="327"/>
        <v>-0.54865364464437183</v>
      </c>
      <c r="E724" s="307">
        <f t="shared" ca="1" si="328"/>
        <v>-0.50451537085696252</v>
      </c>
      <c r="F724" s="304">
        <f t="shared" ca="1" si="329"/>
        <v>0.74535668053120119</v>
      </c>
      <c r="G724" s="306">
        <f t="shared" ca="1" si="330"/>
        <v>6.1896526699432188</v>
      </c>
      <c r="H724" s="307">
        <f t="shared" ca="1" si="331"/>
        <v>-104.98108701428633</v>
      </c>
      <c r="I724" s="304">
        <f t="shared" ca="1" si="332"/>
        <v>105.16339872253889</v>
      </c>
      <c r="J724" s="306">
        <f t="shared" ca="1" si="333"/>
        <v>745.87074281998321</v>
      </c>
      <c r="K724" s="307">
        <f t="shared" ca="1" si="334"/>
        <v>-10.809603414041588</v>
      </c>
      <c r="L724" s="304">
        <f t="shared" ca="1" si="319"/>
        <v>745.9490683155268</v>
      </c>
      <c r="M724" s="306">
        <f t="shared" ca="1" si="335"/>
        <v>-1.5119048110211946</v>
      </c>
      <c r="N724" s="304">
        <f t="shared" ca="1" si="336"/>
        <v>-86.625764697038761</v>
      </c>
      <c r="P724" s="310">
        <f t="shared" ca="1" si="337"/>
        <v>23</v>
      </c>
      <c r="Q724" s="304">
        <f t="shared" ca="1" si="338"/>
        <v>0</v>
      </c>
      <c r="R724" s="306">
        <f t="shared" ca="1" si="339"/>
        <v>0</v>
      </c>
      <c r="S724" s="307">
        <f t="shared" ca="1" si="340"/>
        <v>2.9792999999999985</v>
      </c>
      <c r="T724" s="304">
        <f t="shared" ca="1" si="320"/>
        <v>29.226932999999988</v>
      </c>
      <c r="U724" s="311">
        <f t="shared" ca="1" si="321"/>
        <v>0</v>
      </c>
      <c r="V724" s="306">
        <f t="shared" ca="1" si="322"/>
        <v>1.2263248924963426</v>
      </c>
      <c r="W724" s="304">
        <f t="shared" ca="1" si="323"/>
        <v>27.772030918925619</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0.47134805279126901</v>
      </c>
      <c r="AH724" s="304">
        <f t="shared" ca="1" si="347"/>
        <v>-9.321644973125661</v>
      </c>
    </row>
    <row r="725" spans="1:34" x14ac:dyDescent="0.2">
      <c r="A725" s="347">
        <f t="shared" ca="1" si="325"/>
        <v>1E-4</v>
      </c>
      <c r="B725" s="304">
        <f t="shared" ca="1" si="326"/>
        <v>36.820500000000891</v>
      </c>
      <c r="D725" s="306">
        <f t="shared" ca="1" si="327"/>
        <v>-0.54864960328206713</v>
      </c>
      <c r="E725" s="307">
        <f t="shared" ca="1" si="328"/>
        <v>-0.50449695906173098</v>
      </c>
      <c r="F725" s="304">
        <f t="shared" ca="1" si="329"/>
        <v>0.74534124324640949</v>
      </c>
      <c r="G725" s="306">
        <f t="shared" ca="1" si="330"/>
        <v>6.189597804982891</v>
      </c>
      <c r="H725" s="307">
        <f t="shared" ca="1" si="331"/>
        <v>-104.98113746398224</v>
      </c>
      <c r="I725" s="304">
        <f t="shared" ca="1" si="332"/>
        <v>105.16344585557752</v>
      </c>
      <c r="J725" s="306">
        <f t="shared" ca="1" si="333"/>
        <v>745.87074281998321</v>
      </c>
      <c r="K725" s="307">
        <f t="shared" ca="1" si="334"/>
        <v>-10.820101525265502</v>
      </c>
      <c r="L725" s="304">
        <f t="shared" ca="1" si="319"/>
        <v>745.94922051829406</v>
      </c>
      <c r="M725" s="306">
        <f t="shared" ca="1" si="335"/>
        <v>-1.5119053600635708</v>
      </c>
      <c r="N725" s="304">
        <f t="shared" ca="1" si="336"/>
        <v>-86.625796154849695</v>
      </c>
      <c r="P725" s="310">
        <f t="shared" ca="1" si="337"/>
        <v>23</v>
      </c>
      <c r="Q725" s="304">
        <f t="shared" ca="1" si="338"/>
        <v>0</v>
      </c>
      <c r="R725" s="306">
        <f t="shared" ca="1" si="339"/>
        <v>0</v>
      </c>
      <c r="S725" s="307">
        <f t="shared" ca="1" si="340"/>
        <v>2.9792999999999985</v>
      </c>
      <c r="T725" s="304">
        <f t="shared" ca="1" si="320"/>
        <v>29.226932999999988</v>
      </c>
      <c r="U725" s="311">
        <f t="shared" ca="1" si="321"/>
        <v>0</v>
      </c>
      <c r="V725" s="306">
        <f t="shared" ca="1" si="322"/>
        <v>1.226326179906907</v>
      </c>
      <c r="W725" s="304">
        <f t="shared" ca="1" si="323"/>
        <v>27.772084968584593</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0.4713302277977931</v>
      </c>
      <c r="AH725" s="304">
        <f t="shared" ca="1" si="347"/>
        <v>-9.3216631151363192</v>
      </c>
    </row>
    <row r="726" spans="1:34" x14ac:dyDescent="0.2">
      <c r="A726" s="347">
        <f t="shared" ca="1" si="325"/>
        <v>1E-4</v>
      </c>
      <c r="B726" s="304">
        <f t="shared" ca="1" si="326"/>
        <v>36.820600000000894</v>
      </c>
      <c r="D726" s="306">
        <f t="shared" ca="1" si="327"/>
        <v>-0.54864556193311087</v>
      </c>
      <c r="E726" s="307">
        <f t="shared" ca="1" si="328"/>
        <v>-0.50447854755031329</v>
      </c>
      <c r="F726" s="304">
        <f t="shared" ca="1" si="329"/>
        <v>0.74532580632054646</v>
      </c>
      <c r="G726" s="306">
        <f t="shared" ca="1" si="330"/>
        <v>6.1895429404266977</v>
      </c>
      <c r="H726" s="307">
        <f t="shared" ca="1" si="331"/>
        <v>-104.981187911837</v>
      </c>
      <c r="I726" s="304">
        <f t="shared" ca="1" si="332"/>
        <v>105.16349298683367</v>
      </c>
      <c r="J726" s="306">
        <f t="shared" ca="1" si="333"/>
        <v>745.87074281998321</v>
      </c>
      <c r="K726" s="307">
        <f t="shared" ca="1" si="334"/>
        <v>-10.830599641534292</v>
      </c>
      <c r="L726" s="304">
        <f t="shared" ca="1" si="319"/>
        <v>745.94937286884874</v>
      </c>
      <c r="M726" s="306">
        <f t="shared" ca="1" si="335"/>
        <v>-1.511905909100588</v>
      </c>
      <c r="N726" s="304">
        <f t="shared" ca="1" si="336"/>
        <v>-86.625827612353575</v>
      </c>
      <c r="P726" s="310">
        <f t="shared" ca="1" si="337"/>
        <v>23</v>
      </c>
      <c r="Q726" s="304">
        <f t="shared" ca="1" si="338"/>
        <v>0</v>
      </c>
      <c r="R726" s="306">
        <f t="shared" ca="1" si="339"/>
        <v>0</v>
      </c>
      <c r="S726" s="307">
        <f t="shared" ca="1" si="340"/>
        <v>2.9792999999999985</v>
      </c>
      <c r="T726" s="304">
        <f t="shared" ca="1" si="320"/>
        <v>29.226932999999988</v>
      </c>
      <c r="U726" s="311">
        <f t="shared" ca="1" si="321"/>
        <v>0</v>
      </c>
      <c r="V726" s="306">
        <f t="shared" ca="1" si="322"/>
        <v>1.2263274673194415</v>
      </c>
      <c r="W726" s="304">
        <f t="shared" ca="1" si="323"/>
        <v>27.772139017410154</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0.47131240307799516</v>
      </c>
      <c r="AH726" s="304">
        <f t="shared" ca="1" si="347"/>
        <v>-9.3216812568672527</v>
      </c>
    </row>
    <row r="727" spans="1:34" x14ac:dyDescent="0.2">
      <c r="A727" s="347">
        <f t="shared" ca="1" si="325"/>
        <v>1E-4</v>
      </c>
      <c r="B727" s="304">
        <f t="shared" ca="1" si="326"/>
        <v>36.820700000000897</v>
      </c>
      <c r="D727" s="306">
        <f t="shared" ca="1" si="327"/>
        <v>-0.54864152059750715</v>
      </c>
      <c r="E727" s="307">
        <f t="shared" ca="1" si="328"/>
        <v>-0.50446013632271658</v>
      </c>
      <c r="F727" s="304">
        <f t="shared" ca="1" si="329"/>
        <v>0.74531036975362064</v>
      </c>
      <c r="G727" s="306">
        <f t="shared" ca="1" si="330"/>
        <v>6.189488076274638</v>
      </c>
      <c r="H727" s="307">
        <f t="shared" ca="1" si="331"/>
        <v>-104.98123835785063</v>
      </c>
      <c r="I727" s="304">
        <f t="shared" ca="1" si="332"/>
        <v>105.16354011630739</v>
      </c>
      <c r="J727" s="306">
        <f t="shared" ca="1" si="333"/>
        <v>745.87074281998321</v>
      </c>
      <c r="K727" s="307">
        <f t="shared" ca="1" si="334"/>
        <v>-10.841097762847776</v>
      </c>
      <c r="L727" s="304">
        <f t="shared" ca="1" si="319"/>
        <v>745.94952536719074</v>
      </c>
      <c r="M727" s="306">
        <f t="shared" ca="1" si="335"/>
        <v>-1.5119064581322463</v>
      </c>
      <c r="N727" s="304">
        <f t="shared" ca="1" si="336"/>
        <v>-86.625859069550415</v>
      </c>
      <c r="P727" s="310">
        <f t="shared" ca="1" si="337"/>
        <v>23</v>
      </c>
      <c r="Q727" s="304">
        <f t="shared" ca="1" si="338"/>
        <v>0</v>
      </c>
      <c r="R727" s="306">
        <f t="shared" ca="1" si="339"/>
        <v>0</v>
      </c>
      <c r="S727" s="307">
        <f t="shared" ca="1" si="340"/>
        <v>2.9792999999999985</v>
      </c>
      <c r="T727" s="304">
        <f t="shared" ca="1" si="320"/>
        <v>29.226932999999988</v>
      </c>
      <c r="U727" s="311">
        <f t="shared" ca="1" si="321"/>
        <v>0</v>
      </c>
      <c r="V727" s="306">
        <f t="shared" ca="1" si="322"/>
        <v>1.2263287547339476</v>
      </c>
      <c r="W727" s="304">
        <f t="shared" ca="1" si="323"/>
        <v>27.772193065402348</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0.47129457863188229</v>
      </c>
      <c r="AH727" s="304">
        <f t="shared" ca="1" si="347"/>
        <v>-9.3216993983184526</v>
      </c>
    </row>
    <row r="728" spans="1:34" x14ac:dyDescent="0.2">
      <c r="A728" s="347">
        <f t="shared" ca="1" si="325"/>
        <v>1E-4</v>
      </c>
      <c r="B728" s="304">
        <f t="shared" ca="1" si="326"/>
        <v>36.820800000000901</v>
      </c>
      <c r="D728" s="306">
        <f t="shared" ca="1" si="327"/>
        <v>-0.54863747927525586</v>
      </c>
      <c r="E728" s="307">
        <f t="shared" ca="1" si="328"/>
        <v>-0.50444172537892307</v>
      </c>
      <c r="F728" s="304">
        <f t="shared" ca="1" si="329"/>
        <v>0.74529493354562104</v>
      </c>
      <c r="G728" s="306">
        <f t="shared" ca="1" si="330"/>
        <v>6.1894332125267102</v>
      </c>
      <c r="H728" s="307">
        <f t="shared" ca="1" si="331"/>
        <v>-104.98128880202317</v>
      </c>
      <c r="I728" s="304">
        <f t="shared" ca="1" si="332"/>
        <v>105.16358724399871</v>
      </c>
      <c r="J728" s="306">
        <f t="shared" ca="1" si="333"/>
        <v>745.87074281998321</v>
      </c>
      <c r="K728" s="307">
        <f t="shared" ca="1" si="334"/>
        <v>-10.85159588920577</v>
      </c>
      <c r="L728" s="304">
        <f t="shared" ca="1" si="319"/>
        <v>745.94967801332029</v>
      </c>
      <c r="M728" s="306">
        <f t="shared" ca="1" si="335"/>
        <v>-1.5119070071585461</v>
      </c>
      <c r="N728" s="304">
        <f t="shared" ca="1" si="336"/>
        <v>-86.62589052644023</v>
      </c>
      <c r="P728" s="310">
        <f t="shared" ca="1" si="337"/>
        <v>23</v>
      </c>
      <c r="Q728" s="304">
        <f t="shared" ca="1" si="338"/>
        <v>0</v>
      </c>
      <c r="R728" s="306">
        <f t="shared" ca="1" si="339"/>
        <v>0</v>
      </c>
      <c r="S728" s="307">
        <f t="shared" ca="1" si="340"/>
        <v>2.9792999999999985</v>
      </c>
      <c r="T728" s="304">
        <f t="shared" ca="1" si="320"/>
        <v>29.226932999999988</v>
      </c>
      <c r="U728" s="311">
        <f t="shared" ca="1" si="321"/>
        <v>0</v>
      </c>
      <c r="V728" s="306">
        <f t="shared" ca="1" si="322"/>
        <v>1.2263300421504244</v>
      </c>
      <c r="W728" s="304">
        <f t="shared" ca="1" si="323"/>
        <v>27.772247112561189</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0.47127675445944384</v>
      </c>
      <c r="AH728" s="304">
        <f t="shared" ca="1" si="347"/>
        <v>-9.321717539489935</v>
      </c>
    </row>
    <row r="729" spans="1:34" x14ac:dyDescent="0.2">
      <c r="A729" s="347">
        <f t="shared" ca="1" si="325"/>
        <v>1E-4</v>
      </c>
      <c r="B729" s="304">
        <f t="shared" ca="1" si="326"/>
        <v>36.820900000000904</v>
      </c>
      <c r="D729" s="306">
        <f t="shared" ca="1" si="327"/>
        <v>-0.54863343796635566</v>
      </c>
      <c r="E729" s="307">
        <f t="shared" ca="1" si="328"/>
        <v>-0.50442331471893631</v>
      </c>
      <c r="F729" s="304">
        <f t="shared" ca="1" si="329"/>
        <v>0.74527949769655011</v>
      </c>
      <c r="G729" s="306">
        <f t="shared" ca="1" si="330"/>
        <v>6.1893783491829133</v>
      </c>
      <c r="H729" s="307">
        <f t="shared" ca="1" si="331"/>
        <v>-104.98133924435464</v>
      </c>
      <c r="I729" s="304">
        <f t="shared" ca="1" si="332"/>
        <v>105.1636343699076</v>
      </c>
      <c r="J729" s="306">
        <f t="shared" ca="1" si="333"/>
        <v>745.87074281998321</v>
      </c>
      <c r="K729" s="307">
        <f t="shared" ca="1" si="334"/>
        <v>-10.862094020608088</v>
      </c>
      <c r="L729" s="304">
        <f t="shared" ca="1" si="319"/>
        <v>745.94983080723739</v>
      </c>
      <c r="M729" s="306">
        <f t="shared" ca="1" si="335"/>
        <v>-1.5119075561794872</v>
      </c>
      <c r="N729" s="304">
        <f t="shared" ca="1" si="336"/>
        <v>-86.625921983023019</v>
      </c>
      <c r="P729" s="310">
        <f t="shared" ca="1" si="337"/>
        <v>23</v>
      </c>
      <c r="Q729" s="304">
        <f t="shared" ca="1" si="338"/>
        <v>0</v>
      </c>
      <c r="R729" s="306">
        <f t="shared" ca="1" si="339"/>
        <v>0</v>
      </c>
      <c r="S729" s="307">
        <f t="shared" ca="1" si="340"/>
        <v>2.9792999999999985</v>
      </c>
      <c r="T729" s="304">
        <f t="shared" ca="1" si="320"/>
        <v>29.226932999999988</v>
      </c>
      <c r="U729" s="311">
        <f t="shared" ca="1" si="321"/>
        <v>0</v>
      </c>
      <c r="V729" s="306">
        <f t="shared" ca="1" si="322"/>
        <v>1.2263313295688723</v>
      </c>
      <c r="W729" s="304">
        <f t="shared" ca="1" si="323"/>
        <v>27.772301158886652</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0.4712589305606727</v>
      </c>
      <c r="AH729" s="304">
        <f t="shared" ca="1" si="347"/>
        <v>-9.3217356803817015</v>
      </c>
    </row>
    <row r="730" spans="1:34" x14ac:dyDescent="0.2">
      <c r="A730" s="347">
        <f t="shared" ca="1" si="325"/>
        <v>1E-4</v>
      </c>
      <c r="B730" s="304">
        <f t="shared" ca="1" si="326"/>
        <v>36.821000000000907</v>
      </c>
      <c r="D730" s="306">
        <f t="shared" ca="1" si="327"/>
        <v>-0.5486293966708069</v>
      </c>
      <c r="E730" s="307">
        <f t="shared" ca="1" si="328"/>
        <v>-0.50440490434275809</v>
      </c>
      <c r="F730" s="304">
        <f t="shared" ca="1" si="329"/>
        <v>0.7452640622064105</v>
      </c>
      <c r="G730" s="306">
        <f t="shared" ca="1" si="330"/>
        <v>6.1893234862432465</v>
      </c>
      <c r="H730" s="307">
        <f t="shared" ca="1" si="331"/>
        <v>-104.98138968484508</v>
      </c>
      <c r="I730" s="304">
        <f t="shared" ca="1" si="332"/>
        <v>105.16368149403415</v>
      </c>
      <c r="J730" s="306">
        <f t="shared" ca="1" si="333"/>
        <v>745.87074281998321</v>
      </c>
      <c r="K730" s="307">
        <f t="shared" ca="1" si="334"/>
        <v>-10.872592157054548</v>
      </c>
      <c r="L730" s="304">
        <f t="shared" ca="1" si="319"/>
        <v>745.94998374894226</v>
      </c>
      <c r="M730" s="306">
        <f t="shared" ca="1" si="335"/>
        <v>-1.5119081051950698</v>
      </c>
      <c r="N730" s="304">
        <f t="shared" ca="1" si="336"/>
        <v>-86.625953439298797</v>
      </c>
      <c r="P730" s="310">
        <f t="shared" ca="1" si="337"/>
        <v>23</v>
      </c>
      <c r="Q730" s="304">
        <f t="shared" ca="1" si="338"/>
        <v>0</v>
      </c>
      <c r="R730" s="306">
        <f t="shared" ca="1" si="339"/>
        <v>0</v>
      </c>
      <c r="S730" s="307">
        <f t="shared" ca="1" si="340"/>
        <v>2.9792999999999985</v>
      </c>
      <c r="T730" s="304">
        <f t="shared" ca="1" si="320"/>
        <v>29.226932999999988</v>
      </c>
      <c r="U730" s="311">
        <f t="shared" ca="1" si="321"/>
        <v>0</v>
      </c>
      <c r="V730" s="306">
        <f t="shared" ca="1" si="322"/>
        <v>1.2263326169892907</v>
      </c>
      <c r="W730" s="304">
        <f t="shared" ca="1" si="323"/>
        <v>27.772355204378769</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0.47124110693557952</v>
      </c>
      <c r="AH730" s="304">
        <f t="shared" ca="1" si="347"/>
        <v>-9.3217538209937452</v>
      </c>
    </row>
    <row r="731" spans="1:34" x14ac:dyDescent="0.2">
      <c r="A731" s="347">
        <f t="shared" ca="1" si="325"/>
        <v>1E-4</v>
      </c>
      <c r="B731" s="304">
        <f t="shared" ca="1" si="326"/>
        <v>36.821100000000911</v>
      </c>
      <c r="D731" s="306">
        <f t="shared" ca="1" si="327"/>
        <v>-0.54862535538861124</v>
      </c>
      <c r="E731" s="307">
        <f t="shared" ca="1" si="328"/>
        <v>-0.50438649425037951</v>
      </c>
      <c r="F731" s="304">
        <f t="shared" ca="1" si="329"/>
        <v>0.74524862707519846</v>
      </c>
      <c r="G731" s="306">
        <f t="shared" ca="1" si="330"/>
        <v>6.1892686237077079</v>
      </c>
      <c r="H731" s="307">
        <f t="shared" ca="1" si="331"/>
        <v>-104.98144012349451</v>
      </c>
      <c r="I731" s="304">
        <f t="shared" ca="1" si="332"/>
        <v>105.16372861637835</v>
      </c>
      <c r="J731" s="306">
        <f t="shared" ca="1" si="333"/>
        <v>745.87074281998321</v>
      </c>
      <c r="K731" s="307">
        <f t="shared" ca="1" si="334"/>
        <v>-10.883090298544966</v>
      </c>
      <c r="L731" s="304">
        <f t="shared" ca="1" si="319"/>
        <v>745.9501368384349</v>
      </c>
      <c r="M731" s="306">
        <f t="shared" ca="1" si="335"/>
        <v>-1.5119086542052937</v>
      </c>
      <c r="N731" s="304">
        <f t="shared" ca="1" si="336"/>
        <v>-86.625984895267536</v>
      </c>
      <c r="P731" s="310">
        <f t="shared" ca="1" si="337"/>
        <v>23</v>
      </c>
      <c r="Q731" s="304">
        <f t="shared" ca="1" si="338"/>
        <v>0</v>
      </c>
      <c r="R731" s="306">
        <f t="shared" ca="1" si="339"/>
        <v>0</v>
      </c>
      <c r="S731" s="307">
        <f t="shared" ca="1" si="340"/>
        <v>2.9792999999999985</v>
      </c>
      <c r="T731" s="304">
        <f t="shared" ca="1" si="320"/>
        <v>29.226932999999988</v>
      </c>
      <c r="U731" s="311">
        <f t="shared" ca="1" si="321"/>
        <v>0</v>
      </c>
      <c r="V731" s="306">
        <f t="shared" ca="1" si="322"/>
        <v>1.2263339044116801</v>
      </c>
      <c r="W731" s="304">
        <f t="shared" ca="1" si="323"/>
        <v>27.772409249037533</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0.47122328358415189</v>
      </c>
      <c r="AH731" s="304">
        <f t="shared" ca="1" si="347"/>
        <v>-9.3217719613260783</v>
      </c>
    </row>
    <row r="732" spans="1:34" x14ac:dyDescent="0.2">
      <c r="A732" s="347">
        <f t="shared" ca="1" si="325"/>
        <v>1E-4</v>
      </c>
      <c r="B732" s="304">
        <f t="shared" ca="1" si="326"/>
        <v>36.821200000000914</v>
      </c>
      <c r="D732" s="306">
        <f t="shared" ca="1" si="327"/>
        <v>-0.54862131411976878</v>
      </c>
      <c r="E732" s="307">
        <f t="shared" ca="1" si="328"/>
        <v>-0.50436808444180237</v>
      </c>
      <c r="F732" s="304">
        <f t="shared" ca="1" si="329"/>
        <v>0.74523319230291607</v>
      </c>
      <c r="G732" s="306">
        <f t="shared" ca="1" si="330"/>
        <v>6.1892137615762959</v>
      </c>
      <c r="H732" s="307">
        <f t="shared" ca="1" si="331"/>
        <v>-104.98149056030296</v>
      </c>
      <c r="I732" s="304">
        <f t="shared" ca="1" si="332"/>
        <v>105.16377573694027</v>
      </c>
      <c r="J732" s="306">
        <f t="shared" ca="1" si="333"/>
        <v>745.87074281998321</v>
      </c>
      <c r="K732" s="307">
        <f t="shared" ca="1" si="334"/>
        <v>-10.893588445079155</v>
      </c>
      <c r="L732" s="304">
        <f t="shared" ca="1" si="319"/>
        <v>745.95029007571554</v>
      </c>
      <c r="M732" s="306">
        <f t="shared" ca="1" si="335"/>
        <v>-1.5119092032101593</v>
      </c>
      <c r="N732" s="304">
        <f t="shared" ca="1" si="336"/>
        <v>-86.626016350929262</v>
      </c>
      <c r="P732" s="310">
        <f t="shared" ca="1" si="337"/>
        <v>23</v>
      </c>
      <c r="Q732" s="304">
        <f t="shared" ca="1" si="338"/>
        <v>0</v>
      </c>
      <c r="R732" s="306">
        <f t="shared" ca="1" si="339"/>
        <v>0</v>
      </c>
      <c r="S732" s="307">
        <f t="shared" ca="1" si="340"/>
        <v>2.9792999999999985</v>
      </c>
      <c r="T732" s="304">
        <f t="shared" ca="1" si="320"/>
        <v>29.226932999999988</v>
      </c>
      <c r="U732" s="311">
        <f t="shared" ca="1" si="321"/>
        <v>0</v>
      </c>
      <c r="V732" s="306">
        <f t="shared" ca="1" si="322"/>
        <v>1.2263351918360401</v>
      </c>
      <c r="W732" s="304">
        <f t="shared" ca="1" si="323"/>
        <v>27.772463292862991</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0.47120546050639511</v>
      </c>
      <c r="AH732" s="304">
        <f t="shared" ca="1" si="347"/>
        <v>-9.3217901013786957</v>
      </c>
    </row>
    <row r="733" spans="1:34" x14ac:dyDescent="0.2">
      <c r="A733" s="347">
        <f t="shared" ca="1" si="325"/>
        <v>1E-4</v>
      </c>
      <c r="B733" s="304">
        <f t="shared" ca="1" si="326"/>
        <v>36.821300000000917</v>
      </c>
      <c r="D733" s="306">
        <f t="shared" ca="1" si="327"/>
        <v>-0.54861727286427953</v>
      </c>
      <c r="E733" s="307">
        <f t="shared" ca="1" si="328"/>
        <v>-0.50434967491701244</v>
      </c>
      <c r="F733" s="304">
        <f t="shared" ca="1" si="329"/>
        <v>0.74521775788955502</v>
      </c>
      <c r="G733" s="306">
        <f t="shared" ca="1" si="330"/>
        <v>6.1891588998490095</v>
      </c>
      <c r="H733" s="307">
        <f t="shared" ca="1" si="331"/>
        <v>-104.98154099527045</v>
      </c>
      <c r="I733" s="304">
        <f t="shared" ca="1" si="332"/>
        <v>105.16382285571987</v>
      </c>
      <c r="J733" s="306">
        <f t="shared" ca="1" si="333"/>
        <v>745.87074281998321</v>
      </c>
      <c r="K733" s="307">
        <f t="shared" ca="1" si="334"/>
        <v>-10.904086596656933</v>
      </c>
      <c r="L733" s="304">
        <f t="shared" ca="1" si="319"/>
        <v>745.95044346078441</v>
      </c>
      <c r="M733" s="306">
        <f t="shared" ca="1" si="335"/>
        <v>-1.5119097522096665</v>
      </c>
      <c r="N733" s="304">
        <f t="shared" ca="1" si="336"/>
        <v>-86.626047806283978</v>
      </c>
      <c r="P733" s="310">
        <f t="shared" ca="1" si="337"/>
        <v>23</v>
      </c>
      <c r="Q733" s="304">
        <f t="shared" ca="1" si="338"/>
        <v>0</v>
      </c>
      <c r="R733" s="306">
        <f t="shared" ca="1" si="339"/>
        <v>0</v>
      </c>
      <c r="S733" s="307">
        <f t="shared" ca="1" si="340"/>
        <v>2.9792999999999985</v>
      </c>
      <c r="T733" s="304">
        <f t="shared" ca="1" si="320"/>
        <v>29.226932999999988</v>
      </c>
      <c r="U733" s="311">
        <f t="shared" ca="1" si="321"/>
        <v>0</v>
      </c>
      <c r="V733" s="306">
        <f t="shared" ca="1" si="322"/>
        <v>1.226336479262371</v>
      </c>
      <c r="W733" s="304">
        <f t="shared" ca="1" si="323"/>
        <v>27.77251733585511</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0.47118763770228966</v>
      </c>
      <c r="AH733" s="304">
        <f t="shared" ca="1" si="347"/>
        <v>-9.321808241151615</v>
      </c>
    </row>
    <row r="734" spans="1:34" x14ac:dyDescent="0.2">
      <c r="A734" s="347">
        <f t="shared" ca="1" si="325"/>
        <v>1E-4</v>
      </c>
      <c r="B734" s="304">
        <f t="shared" ca="1" si="326"/>
        <v>36.821400000000921</v>
      </c>
      <c r="D734" s="306">
        <f t="shared" ca="1" si="327"/>
        <v>-0.54861323162214348</v>
      </c>
      <c r="E734" s="307">
        <f t="shared" ca="1" si="328"/>
        <v>-0.5043312656760186</v>
      </c>
      <c r="F734" s="304">
        <f t="shared" ca="1" si="329"/>
        <v>0.7452023238351223</v>
      </c>
      <c r="G734" s="306">
        <f t="shared" ca="1" si="330"/>
        <v>6.1891040385258469</v>
      </c>
      <c r="H734" s="307">
        <f t="shared" ca="1" si="331"/>
        <v>-104.98159142839702</v>
      </c>
      <c r="I734" s="304">
        <f t="shared" ca="1" si="332"/>
        <v>105.16386997271725</v>
      </c>
      <c r="J734" s="306">
        <f t="shared" ca="1" si="333"/>
        <v>745.87074281998321</v>
      </c>
      <c r="K734" s="307">
        <f t="shared" ca="1" si="334"/>
        <v>-10.914584753278117</v>
      </c>
      <c r="L734" s="304">
        <f t="shared" ca="1" si="319"/>
        <v>745.9505969936414</v>
      </c>
      <c r="M734" s="306">
        <f t="shared" ca="1" si="335"/>
        <v>-1.5119103012038153</v>
      </c>
      <c r="N734" s="304">
        <f t="shared" ca="1" si="336"/>
        <v>-86.626079261331682</v>
      </c>
      <c r="P734" s="310">
        <f t="shared" ca="1" si="337"/>
        <v>23</v>
      </c>
      <c r="Q734" s="304">
        <f t="shared" ca="1" si="338"/>
        <v>0</v>
      </c>
      <c r="R734" s="306">
        <f t="shared" ca="1" si="339"/>
        <v>0</v>
      </c>
      <c r="S734" s="307">
        <f t="shared" ca="1" si="340"/>
        <v>2.9792999999999985</v>
      </c>
      <c r="T734" s="304">
        <f t="shared" ca="1" si="320"/>
        <v>29.226932999999988</v>
      </c>
      <c r="U734" s="311">
        <f t="shared" ca="1" si="321"/>
        <v>0</v>
      </c>
      <c r="V734" s="306">
        <f t="shared" ca="1" si="322"/>
        <v>1.226337766690673</v>
      </c>
      <c r="W734" s="304">
        <f t="shared" ca="1" si="323"/>
        <v>27.772571378013943</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0.47116981517184975</v>
      </c>
      <c r="AH734" s="304">
        <f t="shared" ca="1" si="347"/>
        <v>-9.3218263806448238</v>
      </c>
    </row>
    <row r="735" spans="1:34" x14ac:dyDescent="0.2">
      <c r="A735" s="347">
        <f t="shared" ca="1" si="325"/>
        <v>1E-4</v>
      </c>
      <c r="B735" s="304">
        <f t="shared" ca="1" si="326"/>
        <v>36.821500000000924</v>
      </c>
      <c r="D735" s="306">
        <f t="shared" ca="1" si="327"/>
        <v>-0.54860919039336253</v>
      </c>
      <c r="E735" s="307">
        <f t="shared" ca="1" si="328"/>
        <v>-0.50431285671880488</v>
      </c>
      <c r="F735" s="304">
        <f t="shared" ca="1" si="329"/>
        <v>0.74518689013960959</v>
      </c>
      <c r="G735" s="306">
        <f t="shared" ca="1" si="330"/>
        <v>6.1890491776068073</v>
      </c>
      <c r="H735" s="307">
        <f t="shared" ca="1" si="331"/>
        <v>-104.9816418596827</v>
      </c>
      <c r="I735" s="304">
        <f t="shared" ca="1" si="332"/>
        <v>105.16391708793239</v>
      </c>
      <c r="J735" s="306">
        <f t="shared" ca="1" si="333"/>
        <v>745.87074281998321</v>
      </c>
      <c r="K735" s="307">
        <f t="shared" ca="1" si="334"/>
        <v>-10.925082914942521</v>
      </c>
      <c r="L735" s="304">
        <f t="shared" ca="1" si="319"/>
        <v>745.95075067428672</v>
      </c>
      <c r="M735" s="306">
        <f t="shared" ca="1" si="335"/>
        <v>-1.5119108501926057</v>
      </c>
      <c r="N735" s="304">
        <f t="shared" ca="1" si="336"/>
        <v>-86.626110716072375</v>
      </c>
      <c r="P735" s="310">
        <f t="shared" ca="1" si="337"/>
        <v>23</v>
      </c>
      <c r="Q735" s="304">
        <f t="shared" ca="1" si="338"/>
        <v>0</v>
      </c>
      <c r="R735" s="306">
        <f t="shared" ca="1" si="339"/>
        <v>0</v>
      </c>
      <c r="S735" s="307">
        <f t="shared" ca="1" si="340"/>
        <v>2.9792999999999985</v>
      </c>
      <c r="T735" s="304">
        <f t="shared" ca="1" si="320"/>
        <v>29.226932999999988</v>
      </c>
      <c r="U735" s="311">
        <f t="shared" ca="1" si="321"/>
        <v>0</v>
      </c>
      <c r="V735" s="306">
        <f t="shared" ca="1" si="322"/>
        <v>1.2263390541209456</v>
      </c>
      <c r="W735" s="304">
        <f t="shared" ca="1" si="323"/>
        <v>27.772625419339462</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0.47115199291505583</v>
      </c>
      <c r="AH735" s="304">
        <f t="shared" ca="1" si="347"/>
        <v>-9.3218445198583417</v>
      </c>
    </row>
    <row r="736" spans="1:34" x14ac:dyDescent="0.2">
      <c r="A736" s="347">
        <f t="shared" ca="1" si="325"/>
        <v>1E-4</v>
      </c>
      <c r="B736" s="304">
        <f t="shared" ca="1" si="326"/>
        <v>36.821600000000927</v>
      </c>
      <c r="D736" s="306">
        <f t="shared" ca="1" si="327"/>
        <v>-0.54860514917793668</v>
      </c>
      <c r="E736" s="307">
        <f t="shared" ca="1" si="328"/>
        <v>-0.50429444804538015</v>
      </c>
      <c r="F736" s="304">
        <f t="shared" ca="1" si="329"/>
        <v>0.74517145680302388</v>
      </c>
      <c r="G736" s="306">
        <f t="shared" ca="1" si="330"/>
        <v>6.1889943170918897</v>
      </c>
      <c r="H736" s="307">
        <f t="shared" ca="1" si="331"/>
        <v>-104.98169228912749</v>
      </c>
      <c r="I736" s="304">
        <f t="shared" ca="1" si="332"/>
        <v>105.16396420136532</v>
      </c>
      <c r="J736" s="306">
        <f t="shared" ca="1" si="333"/>
        <v>745.87074281998321</v>
      </c>
      <c r="K736" s="307">
        <f t="shared" ca="1" si="334"/>
        <v>-10.935581081649962</v>
      </c>
      <c r="L736" s="304">
        <f t="shared" ca="1" si="319"/>
        <v>745.9509045027205</v>
      </c>
      <c r="M736" s="306">
        <f t="shared" ca="1" si="335"/>
        <v>-1.5119113991760382</v>
      </c>
      <c r="N736" s="304">
        <f t="shared" ca="1" si="336"/>
        <v>-86.626142170506085</v>
      </c>
      <c r="P736" s="310">
        <f t="shared" ca="1" si="337"/>
        <v>23</v>
      </c>
      <c r="Q736" s="304">
        <f t="shared" ca="1" si="338"/>
        <v>0</v>
      </c>
      <c r="R736" s="306">
        <f t="shared" ca="1" si="339"/>
        <v>0</v>
      </c>
      <c r="S736" s="307">
        <f t="shared" ca="1" si="340"/>
        <v>2.9792999999999985</v>
      </c>
      <c r="T736" s="304">
        <f t="shared" ca="1" si="320"/>
        <v>29.226932999999988</v>
      </c>
      <c r="U736" s="311">
        <f t="shared" ca="1" si="321"/>
        <v>0</v>
      </c>
      <c r="V736" s="306">
        <f t="shared" ca="1" si="322"/>
        <v>1.2263403415531886</v>
      </c>
      <c r="W736" s="304">
        <f t="shared" ca="1" si="323"/>
        <v>27.772679459831679</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0.47113417093191678</v>
      </c>
      <c r="AH736" s="304">
        <f t="shared" ca="1" si="347"/>
        <v>-9.321862658792158</v>
      </c>
    </row>
    <row r="737" spans="1:34" x14ac:dyDescent="0.2">
      <c r="A737" s="347">
        <f t="shared" ca="1" si="325"/>
        <v>1E-4</v>
      </c>
      <c r="B737" s="304">
        <f t="shared" ca="1" si="326"/>
        <v>36.821700000000931</v>
      </c>
      <c r="D737" s="306">
        <f t="shared" ca="1" si="327"/>
        <v>-0.54860110797586292</v>
      </c>
      <c r="E737" s="307">
        <f t="shared" ca="1" si="328"/>
        <v>-0.50427603965573908</v>
      </c>
      <c r="F737" s="304">
        <f t="shared" ca="1" si="329"/>
        <v>0.74515602382536028</v>
      </c>
      <c r="G737" s="306">
        <f t="shared" ca="1" si="330"/>
        <v>6.1889394569810925</v>
      </c>
      <c r="H737" s="307">
        <f t="shared" ca="1" si="331"/>
        <v>-104.98174271673146</v>
      </c>
      <c r="I737" s="304">
        <f t="shared" ca="1" si="332"/>
        <v>105.16401131301609</v>
      </c>
      <c r="J737" s="306">
        <f t="shared" ca="1" si="333"/>
        <v>745.87074281998321</v>
      </c>
      <c r="K737" s="307">
        <f t="shared" ca="1" si="334"/>
        <v>-10.946079253400255</v>
      </c>
      <c r="L737" s="304">
        <f t="shared" ca="1" si="319"/>
        <v>745.95105847894285</v>
      </c>
      <c r="M737" s="306">
        <f t="shared" ca="1" si="335"/>
        <v>-1.5119119481541123</v>
      </c>
      <c r="N737" s="304">
        <f t="shared" ca="1" si="336"/>
        <v>-86.62617362463277</v>
      </c>
      <c r="P737" s="310">
        <f t="shared" ca="1" si="337"/>
        <v>23</v>
      </c>
      <c r="Q737" s="304">
        <f t="shared" ca="1" si="338"/>
        <v>0</v>
      </c>
      <c r="R737" s="306">
        <f t="shared" ca="1" si="339"/>
        <v>0</v>
      </c>
      <c r="S737" s="307">
        <f t="shared" ca="1" si="340"/>
        <v>2.9792999999999985</v>
      </c>
      <c r="T737" s="304">
        <f t="shared" ca="1" si="320"/>
        <v>29.226932999999988</v>
      </c>
      <c r="U737" s="311">
        <f t="shared" ca="1" si="321"/>
        <v>0</v>
      </c>
      <c r="V737" s="306">
        <f t="shared" ca="1" si="322"/>
        <v>1.226341628987403</v>
      </c>
      <c r="W737" s="304">
        <f t="shared" ca="1" si="323"/>
        <v>27.772733499490638</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0.47111634922243262</v>
      </c>
      <c r="AH737" s="304">
        <f t="shared" ca="1" si="347"/>
        <v>-9.3218807974462763</v>
      </c>
    </row>
    <row r="738" spans="1:34" x14ac:dyDescent="0.2">
      <c r="A738" s="347">
        <f t="shared" ca="1" si="325"/>
        <v>1E-4</v>
      </c>
      <c r="B738" s="304">
        <f t="shared" ca="1" si="326"/>
        <v>36.821800000000934</v>
      </c>
      <c r="D738" s="306">
        <f t="shared" ca="1" si="327"/>
        <v>-0.54859706678714704</v>
      </c>
      <c r="E738" s="307">
        <f t="shared" ca="1" si="328"/>
        <v>-0.50425763154986747</v>
      </c>
      <c r="F738" s="304">
        <f t="shared" ca="1" si="329"/>
        <v>0.7451405912066148</v>
      </c>
      <c r="G738" s="306">
        <f t="shared" ca="1" si="330"/>
        <v>6.1888845972744138</v>
      </c>
      <c r="H738" s="307">
        <f t="shared" ca="1" si="331"/>
        <v>-104.98179314249461</v>
      </c>
      <c r="I738" s="304">
        <f t="shared" ca="1" si="332"/>
        <v>105.16405842288471</v>
      </c>
      <c r="J738" s="306">
        <f t="shared" ca="1" si="333"/>
        <v>745.87074281998321</v>
      </c>
      <c r="K738" s="307">
        <f t="shared" ca="1" si="334"/>
        <v>-10.956577430193216</v>
      </c>
      <c r="L738" s="304">
        <f t="shared" ca="1" si="319"/>
        <v>745.95121260295389</v>
      </c>
      <c r="M738" s="306">
        <f t="shared" ca="1" si="335"/>
        <v>-1.5119124971268285</v>
      </c>
      <c r="N738" s="304">
        <f t="shared" ca="1" si="336"/>
        <v>-86.626205078452472</v>
      </c>
      <c r="P738" s="310">
        <f t="shared" ca="1" si="337"/>
        <v>23</v>
      </c>
      <c r="Q738" s="304">
        <f t="shared" ca="1" si="338"/>
        <v>0</v>
      </c>
      <c r="R738" s="306">
        <f t="shared" ca="1" si="339"/>
        <v>0</v>
      </c>
      <c r="S738" s="307">
        <f t="shared" ca="1" si="340"/>
        <v>2.9792999999999985</v>
      </c>
      <c r="T738" s="304">
        <f t="shared" ca="1" si="320"/>
        <v>29.226932999999988</v>
      </c>
      <c r="U738" s="311">
        <f t="shared" ca="1" si="321"/>
        <v>0</v>
      </c>
      <c r="V738" s="306">
        <f t="shared" ca="1" si="322"/>
        <v>1.2263429164235875</v>
      </c>
      <c r="W738" s="304">
        <f t="shared" ca="1" si="323"/>
        <v>27.772787538316312</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0.47109852778658379</v>
      </c>
      <c r="AH738" s="304">
        <f t="shared" ca="1" si="347"/>
        <v>-9.3218989358207143</v>
      </c>
    </row>
    <row r="739" spans="1:34" x14ac:dyDescent="0.2">
      <c r="A739" s="347">
        <f t="shared" ca="1" si="325"/>
        <v>1E-4</v>
      </c>
      <c r="B739" s="304">
        <f t="shared" ca="1" si="326"/>
        <v>36.821900000000937</v>
      </c>
      <c r="D739" s="306">
        <f t="shared" ca="1" si="327"/>
        <v>-0.54859302561178502</v>
      </c>
      <c r="E739" s="307">
        <f t="shared" ca="1" si="328"/>
        <v>-0.50423922372777596</v>
      </c>
      <c r="F739" s="304">
        <f t="shared" ca="1" si="329"/>
        <v>0.74512515894679243</v>
      </c>
      <c r="G739" s="306">
        <f t="shared" ca="1" si="330"/>
        <v>6.1888297379718527</v>
      </c>
      <c r="H739" s="307">
        <f t="shared" ca="1" si="331"/>
        <v>-104.98184356641698</v>
      </c>
      <c r="I739" s="304">
        <f t="shared" ca="1" si="332"/>
        <v>105.16410553097123</v>
      </c>
      <c r="J739" s="306">
        <f t="shared" ca="1" si="333"/>
        <v>745.87074281998321</v>
      </c>
      <c r="K739" s="307">
        <f t="shared" ca="1" si="334"/>
        <v>-10.967075612028662</v>
      </c>
      <c r="L739" s="304">
        <f t="shared" ca="1" si="319"/>
        <v>745.95136687475372</v>
      </c>
      <c r="M739" s="306">
        <f t="shared" ca="1" si="335"/>
        <v>-1.5119130460941868</v>
      </c>
      <c r="N739" s="304">
        <f t="shared" ca="1" si="336"/>
        <v>-86.626236531965191</v>
      </c>
      <c r="P739" s="310">
        <f t="shared" ca="1" si="337"/>
        <v>23</v>
      </c>
      <c r="Q739" s="304">
        <f t="shared" ca="1" si="338"/>
        <v>0</v>
      </c>
      <c r="R739" s="306">
        <f t="shared" ca="1" si="339"/>
        <v>0</v>
      </c>
      <c r="S739" s="307">
        <f t="shared" ca="1" si="340"/>
        <v>2.9792999999999985</v>
      </c>
      <c r="T739" s="304">
        <f t="shared" ca="1" si="320"/>
        <v>29.226932999999988</v>
      </c>
      <c r="U739" s="311">
        <f t="shared" ca="1" si="321"/>
        <v>0</v>
      </c>
      <c r="V739" s="306">
        <f t="shared" ca="1" si="322"/>
        <v>1.2263442038617431</v>
      </c>
      <c r="W739" s="304">
        <f t="shared" ca="1" si="323"/>
        <v>27.77284157630875</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0.4710807066243845</v>
      </c>
      <c r="AH739" s="304">
        <f t="shared" ca="1" si="347"/>
        <v>-9.3219170739154578</v>
      </c>
    </row>
    <row r="740" spans="1:34" x14ac:dyDescent="0.2">
      <c r="A740" s="347">
        <f t="shared" ca="1" si="325"/>
        <v>1E-4</v>
      </c>
      <c r="B740" s="304">
        <f t="shared" ca="1" si="326"/>
        <v>36.822000000000941</v>
      </c>
      <c r="D740" s="306">
        <f t="shared" ca="1" si="327"/>
        <v>-0.54858898444977866</v>
      </c>
      <c r="E740" s="307">
        <f t="shared" ca="1" si="328"/>
        <v>-0.50422081618944503</v>
      </c>
      <c r="F740" s="304">
        <f t="shared" ca="1" si="329"/>
        <v>0.74510972704588252</v>
      </c>
      <c r="G740" s="306">
        <f t="shared" ca="1" si="330"/>
        <v>6.1887748790734074</v>
      </c>
      <c r="H740" s="307">
        <f t="shared" ca="1" si="331"/>
        <v>-104.9818939884986</v>
      </c>
      <c r="I740" s="304">
        <f t="shared" ca="1" si="332"/>
        <v>105.16415263727563</v>
      </c>
      <c r="J740" s="306">
        <f t="shared" ca="1" si="333"/>
        <v>745.87074281998321</v>
      </c>
      <c r="K740" s="307">
        <f t="shared" ca="1" si="334"/>
        <v>-10.977573798906407</v>
      </c>
      <c r="L740" s="304">
        <f t="shared" ca="1" si="319"/>
        <v>745.95152129434257</v>
      </c>
      <c r="M740" s="306">
        <f t="shared" ca="1" si="335"/>
        <v>-1.5119135950561871</v>
      </c>
      <c r="N740" s="304">
        <f t="shared" ca="1" si="336"/>
        <v>-86.626267985170927</v>
      </c>
      <c r="P740" s="310">
        <f t="shared" ca="1" si="337"/>
        <v>23</v>
      </c>
      <c r="Q740" s="304">
        <f t="shared" ca="1" si="338"/>
        <v>0</v>
      </c>
      <c r="R740" s="306">
        <f t="shared" ca="1" si="339"/>
        <v>0</v>
      </c>
      <c r="S740" s="307">
        <f t="shared" ca="1" si="340"/>
        <v>2.9792999999999985</v>
      </c>
      <c r="T740" s="304">
        <f t="shared" ca="1" si="320"/>
        <v>29.226932999999988</v>
      </c>
      <c r="U740" s="311">
        <f t="shared" ca="1" si="321"/>
        <v>0</v>
      </c>
      <c r="V740" s="306">
        <f t="shared" ca="1" si="322"/>
        <v>1.2263454913018694</v>
      </c>
      <c r="W740" s="304">
        <f t="shared" ca="1" si="323"/>
        <v>27.772895613467917</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0.47106288573581345</v>
      </c>
      <c r="AH740" s="304">
        <f t="shared" ca="1" si="347"/>
        <v>-9.3219352117305281</v>
      </c>
    </row>
    <row r="741" spans="1:34" x14ac:dyDescent="0.2">
      <c r="A741" s="347">
        <f t="shared" ca="1" si="325"/>
        <v>1E-4</v>
      </c>
      <c r="B741" s="304">
        <f t="shared" ca="1" si="326"/>
        <v>36.822100000000944</v>
      </c>
      <c r="D741" s="306">
        <f t="shared" ca="1" si="327"/>
        <v>-0.54858494330112806</v>
      </c>
      <c r="E741" s="307">
        <f t="shared" ca="1" si="328"/>
        <v>-0.50420240893488888</v>
      </c>
      <c r="F741" s="304">
        <f t="shared" ca="1" si="329"/>
        <v>0.74509429550389583</v>
      </c>
      <c r="G741" s="306">
        <f t="shared" ca="1" si="330"/>
        <v>6.1887200205790771</v>
      </c>
      <c r="H741" s="307">
        <f t="shared" ca="1" si="331"/>
        <v>-104.98194440873949</v>
      </c>
      <c r="I741" s="304">
        <f t="shared" ca="1" si="332"/>
        <v>105.164199741798</v>
      </c>
      <c r="J741" s="306">
        <f t="shared" ca="1" si="333"/>
        <v>745.87074281998321</v>
      </c>
      <c r="K741" s="307">
        <f t="shared" ca="1" si="334"/>
        <v>-10.988071990826269</v>
      </c>
      <c r="L741" s="304">
        <f t="shared" ca="1" si="319"/>
        <v>745.95167586172033</v>
      </c>
      <c r="M741" s="306">
        <f t="shared" ca="1" si="335"/>
        <v>-1.5119141440128294</v>
      </c>
      <c r="N741" s="304">
        <f t="shared" ca="1" si="336"/>
        <v>-86.626299438069665</v>
      </c>
      <c r="P741" s="310">
        <f t="shared" ca="1" si="337"/>
        <v>23</v>
      </c>
      <c r="Q741" s="304">
        <f t="shared" ca="1" si="338"/>
        <v>0</v>
      </c>
      <c r="R741" s="306">
        <f t="shared" ca="1" si="339"/>
        <v>0</v>
      </c>
      <c r="S741" s="307">
        <f t="shared" ca="1" si="340"/>
        <v>2.9792999999999985</v>
      </c>
      <c r="T741" s="304">
        <f t="shared" ca="1" si="320"/>
        <v>29.226932999999988</v>
      </c>
      <c r="U741" s="311">
        <f t="shared" ca="1" si="321"/>
        <v>0</v>
      </c>
      <c r="V741" s="306">
        <f t="shared" ca="1" si="322"/>
        <v>1.2263467787439659</v>
      </c>
      <c r="W741" s="304">
        <f t="shared" ca="1" si="323"/>
        <v>27.772949649793848</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0.47104506512088662</v>
      </c>
      <c r="AH741" s="304">
        <f t="shared" ca="1" si="347"/>
        <v>-9.321953349265911</v>
      </c>
    </row>
    <row r="742" spans="1:34" x14ac:dyDescent="0.2">
      <c r="A742" s="347">
        <f t="shared" ca="1" si="325"/>
        <v>1E-4</v>
      </c>
      <c r="B742" s="304">
        <f t="shared" ca="1" si="326"/>
        <v>36.822200000000947</v>
      </c>
      <c r="D742" s="306">
        <f t="shared" ca="1" si="327"/>
        <v>-0.54858090216583455</v>
      </c>
      <c r="E742" s="307">
        <f t="shared" ca="1" si="328"/>
        <v>-0.50418400196409507</v>
      </c>
      <c r="F742" s="304">
        <f t="shared" ca="1" si="329"/>
        <v>0.74507886432082582</v>
      </c>
      <c r="G742" s="306">
        <f t="shared" ca="1" si="330"/>
        <v>6.1886651624888609</v>
      </c>
      <c r="H742" s="307">
        <f t="shared" ca="1" si="331"/>
        <v>-104.98199482713969</v>
      </c>
      <c r="I742" s="304">
        <f t="shared" ca="1" si="332"/>
        <v>105.16424684453831</v>
      </c>
      <c r="J742" s="306">
        <f t="shared" ca="1" si="333"/>
        <v>745.87074281998321</v>
      </c>
      <c r="K742" s="307">
        <f t="shared" ca="1" si="334"/>
        <v>-10.998570187788063</v>
      </c>
      <c r="L742" s="304">
        <f t="shared" ca="1" si="319"/>
        <v>745.95183057688735</v>
      </c>
      <c r="M742" s="306">
        <f t="shared" ca="1" si="335"/>
        <v>-1.5119146929641138</v>
      </c>
      <c r="N742" s="304">
        <f t="shared" ca="1" si="336"/>
        <v>-86.626330890661421</v>
      </c>
      <c r="P742" s="310">
        <f t="shared" ca="1" si="337"/>
        <v>23</v>
      </c>
      <c r="Q742" s="304">
        <f t="shared" ca="1" si="338"/>
        <v>0</v>
      </c>
      <c r="R742" s="306">
        <f t="shared" ca="1" si="339"/>
        <v>0</v>
      </c>
      <c r="S742" s="307">
        <f t="shared" ca="1" si="340"/>
        <v>2.9792999999999985</v>
      </c>
      <c r="T742" s="304">
        <f t="shared" ca="1" si="320"/>
        <v>29.226932999999988</v>
      </c>
      <c r="U742" s="311">
        <f t="shared" ca="1" si="321"/>
        <v>0</v>
      </c>
      <c r="V742" s="306">
        <f t="shared" ca="1" si="322"/>
        <v>1.2263480661880337</v>
      </c>
      <c r="W742" s="304">
        <f t="shared" ca="1" si="323"/>
        <v>27.773003685286547</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0.47102724477958802</v>
      </c>
      <c r="AH742" s="304">
        <f t="shared" ca="1" si="347"/>
        <v>-9.321971486521619</v>
      </c>
    </row>
    <row r="743" spans="1:34" x14ac:dyDescent="0.2">
      <c r="A743" s="347">
        <f t="shared" ca="1" si="325"/>
        <v>1E-4</v>
      </c>
      <c r="B743" s="304">
        <f t="shared" ca="1" si="326"/>
        <v>36.822300000000951</v>
      </c>
      <c r="D743" s="306">
        <f t="shared" ca="1" si="327"/>
        <v>-0.54857686104389913</v>
      </c>
      <c r="E743" s="307">
        <f t="shared" ca="1" si="328"/>
        <v>-0.50416559527706006</v>
      </c>
      <c r="F743" s="304">
        <f t="shared" ca="1" si="329"/>
        <v>0.74506343349667203</v>
      </c>
      <c r="G743" s="306">
        <f t="shared" ca="1" si="330"/>
        <v>6.1886103048027561</v>
      </c>
      <c r="H743" s="307">
        <f t="shared" ca="1" si="331"/>
        <v>-104.98204524369922</v>
      </c>
      <c r="I743" s="304">
        <f t="shared" ca="1" si="332"/>
        <v>105.16429394549664</v>
      </c>
      <c r="J743" s="306">
        <f t="shared" ca="1" si="333"/>
        <v>745.87074281998321</v>
      </c>
      <c r="K743" s="307">
        <f t="shared" ca="1" si="334"/>
        <v>-11.009068389791604</v>
      </c>
      <c r="L743" s="304">
        <f t="shared" ca="1" si="319"/>
        <v>745.95198543984361</v>
      </c>
      <c r="M743" s="306">
        <f t="shared" ca="1" si="335"/>
        <v>-1.5119152419100406</v>
      </c>
      <c r="N743" s="304">
        <f t="shared" ca="1" si="336"/>
        <v>-86.626362342946209</v>
      </c>
      <c r="P743" s="310">
        <f t="shared" ca="1" si="337"/>
        <v>23</v>
      </c>
      <c r="Q743" s="304">
        <f t="shared" ca="1" si="338"/>
        <v>0</v>
      </c>
      <c r="R743" s="306">
        <f t="shared" ca="1" si="339"/>
        <v>0</v>
      </c>
      <c r="S743" s="307">
        <f t="shared" ca="1" si="340"/>
        <v>2.9792999999999985</v>
      </c>
      <c r="T743" s="304">
        <f t="shared" ca="1" si="320"/>
        <v>29.226932999999988</v>
      </c>
      <c r="U743" s="311">
        <f t="shared" ca="1" si="321"/>
        <v>0</v>
      </c>
      <c r="V743" s="306">
        <f t="shared" ca="1" si="322"/>
        <v>1.2263493536340715</v>
      </c>
      <c r="W743" s="304">
        <f t="shared" ca="1" si="323"/>
        <v>27.773057719946035</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0.4710094247119212</v>
      </c>
      <c r="AH743" s="304">
        <f t="shared" ca="1" si="347"/>
        <v>-9.3219896234976538</v>
      </c>
    </row>
    <row r="744" spans="1:34" x14ac:dyDescent="0.2">
      <c r="A744" s="347">
        <f t="shared" ca="1" si="325"/>
        <v>1E-4</v>
      </c>
      <c r="B744" s="304">
        <f t="shared" ca="1" si="326"/>
        <v>36.822400000000954</v>
      </c>
      <c r="D744" s="306">
        <f t="shared" ca="1" si="327"/>
        <v>-0.54857281993532081</v>
      </c>
      <c r="E744" s="307">
        <f t="shared" ca="1" si="328"/>
        <v>-0.50414718887378029</v>
      </c>
      <c r="F744" s="304">
        <f t="shared" ca="1" si="329"/>
        <v>0.74504800303143215</v>
      </c>
      <c r="G744" s="306">
        <f t="shared" ca="1" si="330"/>
        <v>6.1885554475207627</v>
      </c>
      <c r="H744" s="307">
        <f t="shared" ca="1" si="331"/>
        <v>-104.9820956584181</v>
      </c>
      <c r="I744" s="304">
        <f t="shared" ca="1" si="332"/>
        <v>105.16434104467298</v>
      </c>
      <c r="J744" s="306">
        <f t="shared" ca="1" si="333"/>
        <v>745.87074281998321</v>
      </c>
      <c r="K744" s="307">
        <f t="shared" ca="1" si="334"/>
        <v>-11.019566596836711</v>
      </c>
      <c r="L744" s="304">
        <f t="shared" ca="1" si="319"/>
        <v>745.95214045058935</v>
      </c>
      <c r="M744" s="306">
        <f t="shared" ca="1" si="335"/>
        <v>-1.5119157908506098</v>
      </c>
      <c r="N744" s="304">
        <f t="shared" ca="1" si="336"/>
        <v>-86.626393794924027</v>
      </c>
      <c r="P744" s="310">
        <f t="shared" ca="1" si="337"/>
        <v>23</v>
      </c>
      <c r="Q744" s="304">
        <f t="shared" ca="1" si="338"/>
        <v>0</v>
      </c>
      <c r="R744" s="306">
        <f t="shared" ca="1" si="339"/>
        <v>0</v>
      </c>
      <c r="S744" s="307">
        <f t="shared" ca="1" si="340"/>
        <v>2.9792999999999985</v>
      </c>
      <c r="T744" s="304">
        <f t="shared" ca="1" si="320"/>
        <v>29.226932999999988</v>
      </c>
      <c r="U744" s="311">
        <f t="shared" ca="1" si="321"/>
        <v>0</v>
      </c>
      <c r="V744" s="306">
        <f t="shared" ca="1" si="322"/>
        <v>1.2263506410820799</v>
      </c>
      <c r="W744" s="304">
        <f t="shared" ca="1" si="323"/>
        <v>27.773111753772309</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0.47099160491787373</v>
      </c>
      <c r="AH744" s="304">
        <f t="shared" ca="1" si="347"/>
        <v>-9.3220077601940226</v>
      </c>
    </row>
    <row r="745" spans="1:34" x14ac:dyDescent="0.2">
      <c r="A745" s="347">
        <f t="shared" ca="1" si="325"/>
        <v>1E-4</v>
      </c>
      <c r="B745" s="304">
        <f t="shared" ca="1" si="326"/>
        <v>36.822500000000957</v>
      </c>
      <c r="D745" s="306">
        <f t="shared" ca="1" si="327"/>
        <v>-0.54856877884009814</v>
      </c>
      <c r="E745" s="307">
        <f t="shared" ca="1" si="328"/>
        <v>-0.50412878275425399</v>
      </c>
      <c r="F745" s="304">
        <f t="shared" ca="1" si="329"/>
        <v>0.74503257292510527</v>
      </c>
      <c r="G745" s="306">
        <f t="shared" ca="1" si="330"/>
        <v>6.1885005906428789</v>
      </c>
      <c r="H745" s="307">
        <f t="shared" ca="1" si="331"/>
        <v>-104.98214607129638</v>
      </c>
      <c r="I745" s="304">
        <f t="shared" ca="1" si="332"/>
        <v>105.16438814206737</v>
      </c>
      <c r="J745" s="306">
        <f t="shared" ca="1" si="333"/>
        <v>745.87074281998321</v>
      </c>
      <c r="K745" s="307">
        <f t="shared" ca="1" si="334"/>
        <v>-11.030064808923196</v>
      </c>
      <c r="L745" s="304">
        <f t="shared" ca="1" si="319"/>
        <v>745.95229560912446</v>
      </c>
      <c r="M745" s="306">
        <f t="shared" ca="1" si="335"/>
        <v>-1.5119163397858213</v>
      </c>
      <c r="N745" s="304">
        <f t="shared" ca="1" si="336"/>
        <v>-86.626425246594877</v>
      </c>
      <c r="P745" s="310">
        <f t="shared" ca="1" si="337"/>
        <v>23</v>
      </c>
      <c r="Q745" s="304">
        <f t="shared" ca="1" si="338"/>
        <v>0</v>
      </c>
      <c r="R745" s="306">
        <f t="shared" ca="1" si="339"/>
        <v>0</v>
      </c>
      <c r="S745" s="307">
        <f t="shared" ca="1" si="340"/>
        <v>2.9792999999999985</v>
      </c>
      <c r="T745" s="304">
        <f t="shared" ca="1" si="320"/>
        <v>29.226932999999988</v>
      </c>
      <c r="U745" s="311">
        <f t="shared" ca="1" si="321"/>
        <v>0</v>
      </c>
      <c r="V745" s="306">
        <f t="shared" ca="1" si="322"/>
        <v>1.2263519285320592</v>
      </c>
      <c r="W745" s="304">
        <f t="shared" ca="1" si="323"/>
        <v>27.773165786765386</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0.47097378539745449</v>
      </c>
      <c r="AH745" s="304">
        <f t="shared" ca="1" si="347"/>
        <v>-9.3220258966107217</v>
      </c>
    </row>
    <row r="746" spans="1:34" x14ac:dyDescent="0.2">
      <c r="A746" s="347">
        <f t="shared" ca="1" si="325"/>
        <v>1E-4</v>
      </c>
      <c r="B746" s="304">
        <f t="shared" ca="1" si="326"/>
        <v>36.822600000000961</v>
      </c>
      <c r="D746" s="306">
        <f t="shared" ca="1" si="327"/>
        <v>-0.54856473775823433</v>
      </c>
      <c r="E746" s="307">
        <f t="shared" ca="1" si="328"/>
        <v>-0.5041103769184776</v>
      </c>
      <c r="F746" s="304">
        <f t="shared" ca="1" si="329"/>
        <v>0.74501714317769219</v>
      </c>
      <c r="G746" s="306">
        <f t="shared" ca="1" si="330"/>
        <v>6.188445734169103</v>
      </c>
      <c r="H746" s="307">
        <f t="shared" ca="1" si="331"/>
        <v>-104.98219648233407</v>
      </c>
      <c r="I746" s="304">
        <f t="shared" ca="1" si="332"/>
        <v>105.16443523767983</v>
      </c>
      <c r="J746" s="306">
        <f t="shared" ca="1" si="333"/>
        <v>745.87074281998321</v>
      </c>
      <c r="K746" s="307">
        <f t="shared" ca="1" si="334"/>
        <v>-11.040563026050878</v>
      </c>
      <c r="L746" s="304">
        <f t="shared" ca="1" si="319"/>
        <v>745.95245091544928</v>
      </c>
      <c r="M746" s="306">
        <f t="shared" ca="1" si="335"/>
        <v>-1.5119168887156751</v>
      </c>
      <c r="N746" s="304">
        <f t="shared" ca="1" si="336"/>
        <v>-86.626456697958744</v>
      </c>
      <c r="P746" s="310">
        <f t="shared" ca="1" si="337"/>
        <v>23</v>
      </c>
      <c r="Q746" s="304">
        <f t="shared" ca="1" si="338"/>
        <v>0</v>
      </c>
      <c r="R746" s="306">
        <f t="shared" ca="1" si="339"/>
        <v>0</v>
      </c>
      <c r="S746" s="307">
        <f t="shared" ca="1" si="340"/>
        <v>2.9792999999999985</v>
      </c>
      <c r="T746" s="304">
        <f t="shared" ca="1" si="320"/>
        <v>29.226932999999988</v>
      </c>
      <c r="U746" s="311">
        <f t="shared" ca="1" si="321"/>
        <v>0</v>
      </c>
      <c r="V746" s="306">
        <f t="shared" ca="1" si="322"/>
        <v>1.2263532159840091</v>
      </c>
      <c r="W746" s="304">
        <f t="shared" ca="1" si="323"/>
        <v>27.773219818925277</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0.47095596615065105</v>
      </c>
      <c r="AH746" s="304">
        <f t="shared" ca="1" si="347"/>
        <v>-9.3220440327477601</v>
      </c>
    </row>
    <row r="747" spans="1:34" x14ac:dyDescent="0.2">
      <c r="A747" s="347">
        <f t="shared" ca="1" si="325"/>
        <v>1E-4</v>
      </c>
      <c r="B747" s="304">
        <f t="shared" ca="1" si="326"/>
        <v>36.822700000000964</v>
      </c>
      <c r="D747" s="306">
        <f t="shared" ca="1" si="327"/>
        <v>-0.54856069668973051</v>
      </c>
      <c r="E747" s="307">
        <f t="shared" ca="1" si="328"/>
        <v>-0.50409197136644757</v>
      </c>
      <c r="F747" s="304">
        <f t="shared" ca="1" si="329"/>
        <v>0.74500171378919244</v>
      </c>
      <c r="G747" s="306">
        <f t="shared" ca="1" si="330"/>
        <v>6.1883908780994341</v>
      </c>
      <c r="H747" s="307">
        <f t="shared" ca="1" si="331"/>
        <v>-104.98224689153122</v>
      </c>
      <c r="I747" s="304">
        <f t="shared" ca="1" si="332"/>
        <v>105.16448233151038</v>
      </c>
      <c r="J747" s="306">
        <f t="shared" ca="1" si="333"/>
        <v>745.87074281998321</v>
      </c>
      <c r="K747" s="307">
        <f t="shared" ca="1" si="334"/>
        <v>-11.05106124821957</v>
      </c>
      <c r="L747" s="304">
        <f t="shared" ca="1" si="319"/>
        <v>745.9526063695638</v>
      </c>
      <c r="M747" s="306">
        <f t="shared" ca="1" si="335"/>
        <v>-1.5119174376401716</v>
      </c>
      <c r="N747" s="304">
        <f t="shared" ca="1" si="336"/>
        <v>-86.626488149015671</v>
      </c>
      <c r="P747" s="310">
        <f t="shared" ca="1" si="337"/>
        <v>23</v>
      </c>
      <c r="Q747" s="304">
        <f t="shared" ca="1" si="338"/>
        <v>0</v>
      </c>
      <c r="R747" s="306">
        <f t="shared" ca="1" si="339"/>
        <v>0</v>
      </c>
      <c r="S747" s="307">
        <f t="shared" ca="1" si="340"/>
        <v>2.9792999999999985</v>
      </c>
      <c r="T747" s="304">
        <f t="shared" ca="1" si="320"/>
        <v>29.226932999999988</v>
      </c>
      <c r="U747" s="311">
        <f t="shared" ca="1" si="321"/>
        <v>0</v>
      </c>
      <c r="V747" s="306">
        <f t="shared" ca="1" si="322"/>
        <v>1.2263545034379297</v>
      </c>
      <c r="W747" s="304">
        <f t="shared" ca="1" si="323"/>
        <v>27.773273850251989</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0.47093814717746163</v>
      </c>
      <c r="AH747" s="304">
        <f t="shared" ca="1" si="347"/>
        <v>-9.3220621686051395</v>
      </c>
    </row>
    <row r="748" spans="1:34" x14ac:dyDescent="0.2">
      <c r="A748" s="347">
        <f t="shared" ca="1" si="325"/>
        <v>1E-4</v>
      </c>
      <c r="B748" s="304">
        <f t="shared" ca="1" si="326"/>
        <v>36.822800000000967</v>
      </c>
      <c r="D748" s="306">
        <f t="shared" ca="1" si="327"/>
        <v>-0.54855665563458322</v>
      </c>
      <c r="E748" s="307">
        <f t="shared" ca="1" si="328"/>
        <v>-0.50407356609815857</v>
      </c>
      <c r="F748" s="304">
        <f t="shared" ca="1" si="329"/>
        <v>0.74498628475960105</v>
      </c>
      <c r="G748" s="306">
        <f t="shared" ca="1" si="330"/>
        <v>6.1883360224338704</v>
      </c>
      <c r="H748" s="307">
        <f t="shared" ca="1" si="331"/>
        <v>-104.98229729888783</v>
      </c>
      <c r="I748" s="304">
        <f t="shared" ca="1" si="332"/>
        <v>105.16452942355907</v>
      </c>
      <c r="J748" s="306">
        <f t="shared" ca="1" si="333"/>
        <v>745.87074281998321</v>
      </c>
      <c r="K748" s="307">
        <f t="shared" ca="1" si="334"/>
        <v>-11.061559475429091</v>
      </c>
      <c r="L748" s="304">
        <f t="shared" ca="1" si="319"/>
        <v>745.95276197146825</v>
      </c>
      <c r="M748" s="306">
        <f t="shared" ca="1" si="335"/>
        <v>-1.5119179865593104</v>
      </c>
      <c r="N748" s="304">
        <f t="shared" ca="1" si="336"/>
        <v>-86.626519599765615</v>
      </c>
      <c r="P748" s="310">
        <f t="shared" ca="1" si="337"/>
        <v>23</v>
      </c>
      <c r="Q748" s="304">
        <f t="shared" ca="1" si="338"/>
        <v>0</v>
      </c>
      <c r="R748" s="306">
        <f t="shared" ca="1" si="339"/>
        <v>0</v>
      </c>
      <c r="S748" s="307">
        <f t="shared" ca="1" si="340"/>
        <v>2.9792999999999985</v>
      </c>
      <c r="T748" s="304">
        <f t="shared" ca="1" si="320"/>
        <v>29.226932999999988</v>
      </c>
      <c r="U748" s="311">
        <f t="shared" ca="1" si="321"/>
        <v>0</v>
      </c>
      <c r="V748" s="306">
        <f t="shared" ca="1" si="322"/>
        <v>1.2263557908938207</v>
      </c>
      <c r="W748" s="304">
        <f t="shared" ca="1" si="323"/>
        <v>27.773327880745526</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0.47092032847788445</v>
      </c>
      <c r="AH748" s="304">
        <f t="shared" ca="1" si="347"/>
        <v>-9.3220803041828635</v>
      </c>
    </row>
    <row r="749" spans="1:34" x14ac:dyDescent="0.2">
      <c r="A749" s="347">
        <f t="shared" ca="1" si="325"/>
        <v>1E-4</v>
      </c>
      <c r="B749" s="304">
        <f t="shared" ca="1" si="326"/>
        <v>36.822900000000971</v>
      </c>
      <c r="D749" s="306">
        <f t="shared" ca="1" si="327"/>
        <v>-0.54855261459279758</v>
      </c>
      <c r="E749" s="307">
        <f t="shared" ca="1" si="328"/>
        <v>-0.50405516111361059</v>
      </c>
      <c r="F749" s="304">
        <f t="shared" ca="1" si="329"/>
        <v>0.74497085608892255</v>
      </c>
      <c r="G749" s="306">
        <f t="shared" ca="1" si="330"/>
        <v>6.1882811671724109</v>
      </c>
      <c r="H749" s="307">
        <f t="shared" ca="1" si="331"/>
        <v>-104.98234770440394</v>
      </c>
      <c r="I749" s="304">
        <f t="shared" ca="1" si="332"/>
        <v>105.16457651382592</v>
      </c>
      <c r="J749" s="306">
        <f t="shared" ca="1" si="333"/>
        <v>745.87074281998321</v>
      </c>
      <c r="K749" s="307">
        <f t="shared" ca="1" si="334"/>
        <v>-11.072057707679255</v>
      </c>
      <c r="L749" s="304">
        <f t="shared" ca="1" si="319"/>
        <v>745.95291772116263</v>
      </c>
      <c r="M749" s="306">
        <f t="shared" ca="1" si="335"/>
        <v>-1.5119185354730922</v>
      </c>
      <c r="N749" s="304">
        <f t="shared" ca="1" si="336"/>
        <v>-86.626551050208619</v>
      </c>
      <c r="P749" s="310">
        <f t="shared" ca="1" si="337"/>
        <v>23</v>
      </c>
      <c r="Q749" s="304">
        <f t="shared" ca="1" si="338"/>
        <v>0</v>
      </c>
      <c r="R749" s="306">
        <f t="shared" ca="1" si="339"/>
        <v>0</v>
      </c>
      <c r="S749" s="307">
        <f t="shared" ca="1" si="340"/>
        <v>2.9792999999999985</v>
      </c>
      <c r="T749" s="304">
        <f t="shared" ca="1" si="320"/>
        <v>29.226932999999988</v>
      </c>
      <c r="U749" s="311">
        <f t="shared" ca="1" si="321"/>
        <v>0</v>
      </c>
      <c r="V749" s="306">
        <f t="shared" ca="1" si="322"/>
        <v>1.226357078351682</v>
      </c>
      <c r="W749" s="304">
        <f t="shared" ca="1" si="323"/>
        <v>27.773381910405888</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0.47090251005191952</v>
      </c>
      <c r="AH749" s="304">
        <f t="shared" ca="1" si="347"/>
        <v>-9.3220984394809321</v>
      </c>
    </row>
    <row r="750" spans="1:34" x14ac:dyDescent="0.2">
      <c r="A750" s="347">
        <f t="shared" ca="1" si="325"/>
        <v>1E-4</v>
      </c>
      <c r="B750" s="304">
        <f t="shared" ca="1" si="326"/>
        <v>36.823000000000974</v>
      </c>
      <c r="D750" s="306">
        <f t="shared" ca="1" si="327"/>
        <v>-0.54854857356436815</v>
      </c>
      <c r="E750" s="307">
        <f t="shared" ca="1" si="328"/>
        <v>-0.50403675641280365</v>
      </c>
      <c r="F750" s="304">
        <f t="shared" ca="1" si="329"/>
        <v>0.74495542777715429</v>
      </c>
      <c r="G750" s="306">
        <f t="shared" ca="1" si="330"/>
        <v>6.1882263123150549</v>
      </c>
      <c r="H750" s="307">
        <f t="shared" ca="1" si="331"/>
        <v>-104.98239810807958</v>
      </c>
      <c r="I750" s="304">
        <f t="shared" ca="1" si="332"/>
        <v>105.16462360231095</v>
      </c>
      <c r="J750" s="306">
        <f t="shared" ca="1" si="333"/>
        <v>745.87074281998321</v>
      </c>
      <c r="K750" s="307">
        <f t="shared" ca="1" si="334"/>
        <v>-11.082555944969879</v>
      </c>
      <c r="L750" s="304">
        <f t="shared" ca="1" si="319"/>
        <v>745.9530736186473</v>
      </c>
      <c r="M750" s="306">
        <f t="shared" ca="1" si="335"/>
        <v>-1.5119190843815165</v>
      </c>
      <c r="N750" s="304">
        <f t="shared" ca="1" si="336"/>
        <v>-86.626582500344668</v>
      </c>
      <c r="P750" s="310">
        <f t="shared" ca="1" si="337"/>
        <v>23</v>
      </c>
      <c r="Q750" s="304">
        <f t="shared" ca="1" si="338"/>
        <v>0</v>
      </c>
      <c r="R750" s="306">
        <f t="shared" ca="1" si="339"/>
        <v>0</v>
      </c>
      <c r="S750" s="307">
        <f t="shared" ca="1" si="340"/>
        <v>2.9792999999999985</v>
      </c>
      <c r="T750" s="304">
        <f t="shared" ca="1" si="320"/>
        <v>29.226932999999988</v>
      </c>
      <c r="U750" s="311">
        <f t="shared" ca="1" si="321"/>
        <v>0</v>
      </c>
      <c r="V750" s="306">
        <f t="shared" ca="1" si="322"/>
        <v>1.2263583658115138</v>
      </c>
      <c r="W750" s="304">
        <f t="shared" ca="1" si="323"/>
        <v>27.773435939233121</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0.47088469189956683</v>
      </c>
      <c r="AH750" s="304">
        <f t="shared" ca="1" si="347"/>
        <v>-9.3221165744993471</v>
      </c>
    </row>
    <row r="751" spans="1:34" x14ac:dyDescent="0.2">
      <c r="A751" s="347">
        <f t="shared" ca="1" si="325"/>
        <v>1E-4</v>
      </c>
      <c r="B751" s="304">
        <f t="shared" ca="1" si="326"/>
        <v>36.823100000000977</v>
      </c>
      <c r="D751" s="306">
        <f t="shared" ca="1" si="327"/>
        <v>-0.54854453254930036</v>
      </c>
      <c r="E751" s="307">
        <f t="shared" ca="1" si="328"/>
        <v>-0.50401835199572531</v>
      </c>
      <c r="F751" s="304">
        <f t="shared" ca="1" si="329"/>
        <v>0.74493999982429282</v>
      </c>
      <c r="G751" s="306">
        <f t="shared" ca="1" si="330"/>
        <v>6.1881714578617997</v>
      </c>
      <c r="H751" s="307">
        <f t="shared" ca="1" si="331"/>
        <v>-104.98244850991478</v>
      </c>
      <c r="I751" s="304">
        <f t="shared" ca="1" si="332"/>
        <v>105.1646706890142</v>
      </c>
      <c r="J751" s="306">
        <f t="shared" ca="1" si="333"/>
        <v>745.87074281998321</v>
      </c>
      <c r="K751" s="307">
        <f t="shared" ca="1" si="334"/>
        <v>-11.09305418730078</v>
      </c>
      <c r="L751" s="304">
        <f t="shared" ca="1" si="319"/>
        <v>745.95322966392189</v>
      </c>
      <c r="M751" s="306">
        <f t="shared" ca="1" si="335"/>
        <v>-1.5119196332845835</v>
      </c>
      <c r="N751" s="304">
        <f t="shared" ca="1" si="336"/>
        <v>-86.626613950173777</v>
      </c>
      <c r="P751" s="310">
        <f t="shared" ca="1" si="337"/>
        <v>23</v>
      </c>
      <c r="Q751" s="304">
        <f t="shared" ca="1" si="338"/>
        <v>0</v>
      </c>
      <c r="R751" s="306">
        <f t="shared" ca="1" si="339"/>
        <v>0</v>
      </c>
      <c r="S751" s="307">
        <f t="shared" ca="1" si="340"/>
        <v>2.9792999999999985</v>
      </c>
      <c r="T751" s="304">
        <f t="shared" ca="1" si="320"/>
        <v>29.226932999999988</v>
      </c>
      <c r="U751" s="311">
        <f t="shared" ca="1" si="321"/>
        <v>0</v>
      </c>
      <c r="V751" s="306">
        <f t="shared" ca="1" si="322"/>
        <v>1.2263596532733163</v>
      </c>
      <c r="W751" s="304">
        <f t="shared" ca="1" si="323"/>
        <v>27.77348996722721</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0.4708668740208104</v>
      </c>
      <c r="AH751" s="304">
        <f t="shared" ca="1" si="347"/>
        <v>-9.3221347092381208</v>
      </c>
    </row>
    <row r="752" spans="1:34" x14ac:dyDescent="0.2">
      <c r="A752" s="347">
        <f t="shared" ca="1" si="325"/>
        <v>1E-4</v>
      </c>
      <c r="B752" s="304">
        <f t="shared" ca="1" si="326"/>
        <v>36.82320000000098</v>
      </c>
      <c r="D752" s="306">
        <f t="shared" ca="1" si="327"/>
        <v>-0.54854049154759321</v>
      </c>
      <c r="E752" s="307">
        <f t="shared" ca="1" si="328"/>
        <v>-0.50399994786237556</v>
      </c>
      <c r="F752" s="304">
        <f t="shared" ca="1" si="329"/>
        <v>0.74492457223033826</v>
      </c>
      <c r="G752" s="306">
        <f t="shared" ca="1" si="330"/>
        <v>6.1881166038126452</v>
      </c>
      <c r="H752" s="307">
        <f t="shared" ca="1" si="331"/>
        <v>-104.98249890990957</v>
      </c>
      <c r="I752" s="304">
        <f t="shared" ca="1" si="332"/>
        <v>105.16471777393569</v>
      </c>
      <c r="J752" s="306">
        <f t="shared" ca="1" si="333"/>
        <v>745.87074281998321</v>
      </c>
      <c r="K752" s="307">
        <f t="shared" ca="1" si="334"/>
        <v>-11.103552434671771</v>
      </c>
      <c r="L752" s="304">
        <f t="shared" ca="1" si="319"/>
        <v>745.9533858569871</v>
      </c>
      <c r="M752" s="306">
        <f t="shared" ca="1" si="335"/>
        <v>-1.5119201821822934</v>
      </c>
      <c r="N752" s="304">
        <f t="shared" ca="1" si="336"/>
        <v>-86.626645399695946</v>
      </c>
      <c r="P752" s="310">
        <f t="shared" ca="1" si="337"/>
        <v>23</v>
      </c>
      <c r="Q752" s="304">
        <f t="shared" ca="1" si="338"/>
        <v>0</v>
      </c>
      <c r="R752" s="306">
        <f t="shared" ca="1" si="339"/>
        <v>0</v>
      </c>
      <c r="S752" s="307">
        <f t="shared" ca="1" si="340"/>
        <v>2.9792999999999985</v>
      </c>
      <c r="T752" s="304">
        <f t="shared" ca="1" si="320"/>
        <v>29.226932999999988</v>
      </c>
      <c r="U752" s="311">
        <f t="shared" ca="1" si="321"/>
        <v>0</v>
      </c>
      <c r="V752" s="306">
        <f t="shared" ca="1" si="322"/>
        <v>1.2263609407370895</v>
      </c>
      <c r="W752" s="304">
        <f t="shared" ca="1" si="323"/>
        <v>27.773543994388177</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0.47084905641565378</v>
      </c>
      <c r="AH752" s="304">
        <f t="shared" ca="1" si="347"/>
        <v>-9.3221528436972516</v>
      </c>
    </row>
    <row r="753" spans="1:34" x14ac:dyDescent="0.2">
      <c r="A753" s="347">
        <f t="shared" ca="1" si="325"/>
        <v>1E-4</v>
      </c>
      <c r="B753" s="304">
        <f t="shared" ca="1" si="326"/>
        <v>36.823300000000984</v>
      </c>
      <c r="D753" s="306">
        <f t="shared" ca="1" si="327"/>
        <v>-0.54853645055924538</v>
      </c>
      <c r="E753" s="307">
        <f t="shared" ca="1" si="328"/>
        <v>-0.50398154401274731</v>
      </c>
      <c r="F753" s="304">
        <f t="shared" ca="1" si="329"/>
        <v>0.74490914499528615</v>
      </c>
      <c r="G753" s="306">
        <f t="shared" ca="1" si="330"/>
        <v>6.1880617501675896</v>
      </c>
      <c r="H753" s="307">
        <f t="shared" ca="1" si="331"/>
        <v>-104.98254930806397</v>
      </c>
      <c r="I753" s="304">
        <f t="shared" ca="1" si="332"/>
        <v>105.16476485707544</v>
      </c>
      <c r="J753" s="306">
        <f t="shared" ca="1" si="333"/>
        <v>745.87074281998321</v>
      </c>
      <c r="K753" s="307">
        <f t="shared" ca="1" si="334"/>
        <v>-11.114050687082671</v>
      </c>
      <c r="L753" s="304">
        <f t="shared" ca="1" si="319"/>
        <v>745.95354219784269</v>
      </c>
      <c r="M753" s="306">
        <f t="shared" ca="1" si="335"/>
        <v>-1.5119207310746463</v>
      </c>
      <c r="N753" s="304">
        <f t="shared" ca="1" si="336"/>
        <v>-86.626676848911174</v>
      </c>
      <c r="P753" s="310">
        <f t="shared" ca="1" si="337"/>
        <v>23</v>
      </c>
      <c r="Q753" s="304">
        <f t="shared" ca="1" si="338"/>
        <v>0</v>
      </c>
      <c r="R753" s="306">
        <f t="shared" ca="1" si="339"/>
        <v>0</v>
      </c>
      <c r="S753" s="307">
        <f t="shared" ca="1" si="340"/>
        <v>2.9792999999999985</v>
      </c>
      <c r="T753" s="304">
        <f t="shared" ca="1" si="320"/>
        <v>29.226932999999988</v>
      </c>
      <c r="U753" s="311">
        <f t="shared" ca="1" si="321"/>
        <v>0</v>
      </c>
      <c r="V753" s="306">
        <f t="shared" ca="1" si="322"/>
        <v>1.2263622282028326</v>
      </c>
      <c r="W753" s="304">
        <f t="shared" ca="1" si="323"/>
        <v>27.773598020716012</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0.47083123908408986</v>
      </c>
      <c r="AH753" s="304">
        <f t="shared" ca="1" si="347"/>
        <v>-9.3221709778767465</v>
      </c>
    </row>
    <row r="754" spans="1:34" x14ac:dyDescent="0.2">
      <c r="A754" s="347">
        <f t="shared" ca="1" si="325"/>
        <v>1E-4</v>
      </c>
      <c r="B754" s="304">
        <f t="shared" ca="1" si="326"/>
        <v>36.823400000000987</v>
      </c>
      <c r="D754" s="306">
        <f t="shared" ca="1" si="327"/>
        <v>-0.54853240958425764</v>
      </c>
      <c r="E754" s="307">
        <f t="shared" ca="1" si="328"/>
        <v>-0.50396314044684942</v>
      </c>
      <c r="F754" s="304">
        <f t="shared" ca="1" si="329"/>
        <v>0.74489371811914395</v>
      </c>
      <c r="G754" s="306">
        <f t="shared" ca="1" si="330"/>
        <v>6.1880068969266313</v>
      </c>
      <c r="H754" s="307">
        <f t="shared" ca="1" si="331"/>
        <v>-104.98259970437802</v>
      </c>
      <c r="I754" s="304">
        <f t="shared" ca="1" si="332"/>
        <v>105.16481193843349</v>
      </c>
      <c r="J754" s="306">
        <f t="shared" ca="1" si="333"/>
        <v>745.87074281998321</v>
      </c>
      <c r="K754" s="307">
        <f t="shared" ca="1" si="334"/>
        <v>-11.124548944533293</v>
      </c>
      <c r="L754" s="304">
        <f t="shared" ca="1" si="319"/>
        <v>745.95369868648868</v>
      </c>
      <c r="M754" s="306">
        <f t="shared" ca="1" si="335"/>
        <v>-1.5119212799616419</v>
      </c>
      <c r="N754" s="304">
        <f t="shared" ca="1" si="336"/>
        <v>-86.626708297819448</v>
      </c>
      <c r="P754" s="310">
        <f t="shared" ca="1" si="337"/>
        <v>23</v>
      </c>
      <c r="Q754" s="304">
        <f t="shared" ca="1" si="338"/>
        <v>0</v>
      </c>
      <c r="R754" s="306">
        <f t="shared" ca="1" si="339"/>
        <v>0</v>
      </c>
      <c r="S754" s="307">
        <f t="shared" ca="1" si="340"/>
        <v>2.9792999999999985</v>
      </c>
      <c r="T754" s="304">
        <f t="shared" ca="1" si="320"/>
        <v>29.226932999999988</v>
      </c>
      <c r="U754" s="311">
        <f t="shared" ca="1" si="321"/>
        <v>0</v>
      </c>
      <c r="V754" s="306">
        <f t="shared" ca="1" si="322"/>
        <v>1.2263635156705459</v>
      </c>
      <c r="W754" s="304">
        <f t="shared" ca="1" si="323"/>
        <v>27.773652046210735</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0.47081342202612575</v>
      </c>
      <c r="AH754" s="304">
        <f t="shared" ca="1" si="347"/>
        <v>-9.3221891117766003</v>
      </c>
    </row>
    <row r="755" spans="1:34" x14ac:dyDescent="0.2">
      <c r="A755" s="347">
        <f t="shared" ca="1" si="325"/>
        <v>1E-4</v>
      </c>
      <c r="B755" s="304">
        <f t="shared" ca="1" si="326"/>
        <v>36.82350000000099</v>
      </c>
      <c r="D755" s="306">
        <f t="shared" ca="1" si="327"/>
        <v>-0.54852836862263321</v>
      </c>
      <c r="E755" s="307">
        <f t="shared" ca="1" si="328"/>
        <v>-0.5039447371646677</v>
      </c>
      <c r="F755" s="304">
        <f t="shared" ca="1" si="329"/>
        <v>0.74487829160190555</v>
      </c>
      <c r="G755" s="306">
        <f t="shared" ca="1" si="330"/>
        <v>6.1879520440897693</v>
      </c>
      <c r="H755" s="307">
        <f t="shared" ca="1" si="331"/>
        <v>-104.98265009885174</v>
      </c>
      <c r="I755" s="304">
        <f t="shared" ca="1" si="332"/>
        <v>105.16485901800985</v>
      </c>
      <c r="J755" s="306">
        <f t="shared" ca="1" si="333"/>
        <v>745.87074281998321</v>
      </c>
      <c r="K755" s="307">
        <f t="shared" ca="1" si="334"/>
        <v>-11.135047207023455</v>
      </c>
      <c r="L755" s="304">
        <f t="shared" ca="1" si="319"/>
        <v>745.95385532292551</v>
      </c>
      <c r="M755" s="306">
        <f t="shared" ca="1" si="335"/>
        <v>-1.5119218288432807</v>
      </c>
      <c r="N755" s="304">
        <f t="shared" ca="1" si="336"/>
        <v>-86.62673974642081</v>
      </c>
      <c r="P755" s="310">
        <f t="shared" ca="1" si="337"/>
        <v>23</v>
      </c>
      <c r="Q755" s="304">
        <f t="shared" ca="1" si="338"/>
        <v>0</v>
      </c>
      <c r="R755" s="306">
        <f t="shared" ca="1" si="339"/>
        <v>0</v>
      </c>
      <c r="S755" s="307">
        <f t="shared" ca="1" si="340"/>
        <v>2.9792999999999985</v>
      </c>
      <c r="T755" s="304">
        <f t="shared" ca="1" si="320"/>
        <v>29.226932999999988</v>
      </c>
      <c r="U755" s="311">
        <f t="shared" ca="1" si="321"/>
        <v>0</v>
      </c>
      <c r="V755" s="306">
        <f t="shared" ca="1" si="322"/>
        <v>1.2263648031402301</v>
      </c>
      <c r="W755" s="304">
        <f t="shared" ca="1" si="323"/>
        <v>27.773706070872358</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0.47079560524175079</v>
      </c>
      <c r="AH755" s="304">
        <f t="shared" ca="1" si="347"/>
        <v>-9.3222072453968217</v>
      </c>
    </row>
    <row r="756" spans="1:34" x14ac:dyDescent="0.2">
      <c r="A756" s="347">
        <f t="shared" ca="1" si="325"/>
        <v>1E-4</v>
      </c>
      <c r="B756" s="304">
        <f t="shared" ca="1" si="326"/>
        <v>36.823600000000994</v>
      </c>
      <c r="D756" s="306">
        <f t="shared" ca="1" si="327"/>
        <v>-0.54852432767436876</v>
      </c>
      <c r="E756" s="307">
        <f t="shared" ca="1" si="328"/>
        <v>-0.50392633416620392</v>
      </c>
      <c r="F756" s="304">
        <f t="shared" ca="1" si="329"/>
        <v>0.74486286544357072</v>
      </c>
      <c r="G756" s="306">
        <f t="shared" ca="1" si="330"/>
        <v>6.1878971916570018</v>
      </c>
      <c r="H756" s="307">
        <f t="shared" ca="1" si="331"/>
        <v>-104.98270049148515</v>
      </c>
      <c r="I756" s="304">
        <f t="shared" ca="1" si="332"/>
        <v>105.16490609580457</v>
      </c>
      <c r="J756" s="306">
        <f t="shared" ca="1" si="333"/>
        <v>745.87074281998321</v>
      </c>
      <c r="K756" s="307">
        <f t="shared" ca="1" si="334"/>
        <v>-11.145545474552971</v>
      </c>
      <c r="L756" s="304">
        <f t="shared" ca="1" si="319"/>
        <v>745.95401210715318</v>
      </c>
      <c r="M756" s="306">
        <f t="shared" ca="1" si="335"/>
        <v>-1.5119223777195625</v>
      </c>
      <c r="N756" s="304">
        <f t="shared" ca="1" si="336"/>
        <v>-86.626771194715218</v>
      </c>
      <c r="P756" s="310">
        <f t="shared" ca="1" si="337"/>
        <v>23</v>
      </c>
      <c r="Q756" s="304">
        <f t="shared" ca="1" si="338"/>
        <v>0</v>
      </c>
      <c r="R756" s="306">
        <f t="shared" ca="1" si="339"/>
        <v>0</v>
      </c>
      <c r="S756" s="307">
        <f t="shared" ca="1" si="340"/>
        <v>2.9792999999999985</v>
      </c>
      <c r="T756" s="304">
        <f t="shared" ca="1" si="320"/>
        <v>29.226932999999988</v>
      </c>
      <c r="U756" s="311">
        <f t="shared" ca="1" si="321"/>
        <v>0</v>
      </c>
      <c r="V756" s="306">
        <f t="shared" ca="1" si="322"/>
        <v>1.2263660906118845</v>
      </c>
      <c r="W756" s="304">
        <f t="shared" ca="1" si="323"/>
        <v>27.773760094700897</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0.47077778873096321</v>
      </c>
      <c r="AH756" s="304">
        <f t="shared" ca="1" si="347"/>
        <v>-9.3222253787374125</v>
      </c>
    </row>
    <row r="757" spans="1:34" x14ac:dyDescent="0.2">
      <c r="A757" s="347">
        <f t="shared" ca="1" si="325"/>
        <v>1E-4</v>
      </c>
      <c r="B757" s="304">
        <f t="shared" ca="1" si="326"/>
        <v>36.823700000000997</v>
      </c>
      <c r="D757" s="306">
        <f t="shared" ca="1" si="327"/>
        <v>-0.54852028673946751</v>
      </c>
      <c r="E757" s="307">
        <f t="shared" ca="1" si="328"/>
        <v>-0.50390793145144919</v>
      </c>
      <c r="F757" s="304">
        <f t="shared" ca="1" si="329"/>
        <v>0.7448474396441368</v>
      </c>
      <c r="G757" s="306">
        <f t="shared" ca="1" si="330"/>
        <v>6.187842339628328</v>
      </c>
      <c r="H757" s="307">
        <f t="shared" ca="1" si="331"/>
        <v>-104.9827508822783</v>
      </c>
      <c r="I757" s="304">
        <f t="shared" ca="1" si="332"/>
        <v>105.16495317181766</v>
      </c>
      <c r="J757" s="306">
        <f t="shared" ca="1" si="333"/>
        <v>745.87074281998321</v>
      </c>
      <c r="K757" s="307">
        <f t="shared" ca="1" si="334"/>
        <v>-11.156043747121659</v>
      </c>
      <c r="L757" s="304">
        <f t="shared" ca="1" si="319"/>
        <v>745.95416903917169</v>
      </c>
      <c r="M757" s="306">
        <f t="shared" ca="1" si="335"/>
        <v>-1.5119229265904874</v>
      </c>
      <c r="N757" s="304">
        <f t="shared" ca="1" si="336"/>
        <v>-86.626802642702714</v>
      </c>
      <c r="P757" s="310">
        <f t="shared" ca="1" si="337"/>
        <v>23</v>
      </c>
      <c r="Q757" s="304">
        <f t="shared" ca="1" si="338"/>
        <v>0</v>
      </c>
      <c r="R757" s="306">
        <f t="shared" ca="1" si="339"/>
        <v>0</v>
      </c>
      <c r="S757" s="307">
        <f t="shared" ca="1" si="340"/>
        <v>2.9792999999999985</v>
      </c>
      <c r="T757" s="304">
        <f t="shared" ca="1" si="320"/>
        <v>29.226932999999988</v>
      </c>
      <c r="U757" s="311">
        <f t="shared" ca="1" si="321"/>
        <v>0</v>
      </c>
      <c r="V757" s="306">
        <f t="shared" ca="1" si="322"/>
        <v>1.2263673780855098</v>
      </c>
      <c r="W757" s="304">
        <f t="shared" ca="1" si="323"/>
        <v>27.773814117696364</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0.4707599724937559</v>
      </c>
      <c r="AH757" s="304">
        <f t="shared" ca="1" si="347"/>
        <v>-9.32224351179838</v>
      </c>
    </row>
    <row r="758" spans="1:34" x14ac:dyDescent="0.2">
      <c r="A758" s="347">
        <f t="shared" ca="1" si="325"/>
        <v>1E-4</v>
      </c>
      <c r="B758" s="304">
        <f t="shared" ca="1" si="326"/>
        <v>36.823800000001</v>
      </c>
      <c r="D758" s="306">
        <f t="shared" ca="1" si="327"/>
        <v>-0.54851624581792846</v>
      </c>
      <c r="E758" s="307">
        <f t="shared" ca="1" si="328"/>
        <v>-0.50388952902040351</v>
      </c>
      <c r="F758" s="304">
        <f t="shared" ca="1" si="329"/>
        <v>0.74483201420360434</v>
      </c>
      <c r="G758" s="306">
        <f t="shared" ca="1" si="330"/>
        <v>6.187787488003746</v>
      </c>
      <c r="H758" s="307">
        <f t="shared" ca="1" si="331"/>
        <v>-104.9828012712312</v>
      </c>
      <c r="I758" s="304">
        <f t="shared" ca="1" si="332"/>
        <v>105.16500024604915</v>
      </c>
      <c r="J758" s="306">
        <f t="shared" ca="1" si="333"/>
        <v>745.87074281998321</v>
      </c>
      <c r="K758" s="307">
        <f t="shared" ca="1" si="334"/>
        <v>-11.166542024729335</v>
      </c>
      <c r="L758" s="304">
        <f t="shared" ca="1" si="319"/>
        <v>745.95432611898127</v>
      </c>
      <c r="M758" s="306">
        <f t="shared" ca="1" si="335"/>
        <v>-1.5119234754560558</v>
      </c>
      <c r="N758" s="304">
        <f t="shared" ca="1" si="336"/>
        <v>-86.626834090383298</v>
      </c>
      <c r="P758" s="310">
        <f t="shared" ca="1" si="337"/>
        <v>23</v>
      </c>
      <c r="Q758" s="304">
        <f t="shared" ca="1" si="338"/>
        <v>0</v>
      </c>
      <c r="R758" s="306">
        <f t="shared" ca="1" si="339"/>
        <v>0</v>
      </c>
      <c r="S758" s="307">
        <f t="shared" ca="1" si="340"/>
        <v>2.9792999999999985</v>
      </c>
      <c r="T758" s="304">
        <f t="shared" ca="1" si="320"/>
        <v>29.226932999999988</v>
      </c>
      <c r="U758" s="311">
        <f t="shared" ca="1" si="321"/>
        <v>0</v>
      </c>
      <c r="V758" s="306">
        <f t="shared" ca="1" si="322"/>
        <v>1.2263686655611048</v>
      </c>
      <c r="W758" s="304">
        <f t="shared" ca="1" si="323"/>
        <v>27.773868139858749</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0.47074215653012885</v>
      </c>
      <c r="AH758" s="304">
        <f t="shared" ca="1" si="347"/>
        <v>-9.3222616445797257</v>
      </c>
    </row>
    <row r="759" spans="1:34" x14ac:dyDescent="0.2">
      <c r="A759" s="347">
        <f t="shared" ca="1" si="325"/>
        <v>1E-4</v>
      </c>
      <c r="B759" s="304">
        <f t="shared" ca="1" si="326"/>
        <v>36.823900000001004</v>
      </c>
      <c r="D759" s="306">
        <f t="shared" ca="1" si="327"/>
        <v>-0.54851220490975017</v>
      </c>
      <c r="E759" s="307">
        <f t="shared" ca="1" si="328"/>
        <v>-0.50387112687306512</v>
      </c>
      <c r="F759" s="304">
        <f t="shared" ca="1" si="329"/>
        <v>0.74481658912197191</v>
      </c>
      <c r="G759" s="306">
        <f t="shared" ca="1" si="330"/>
        <v>6.187732636783255</v>
      </c>
      <c r="H759" s="307">
        <f t="shared" ca="1" si="331"/>
        <v>-104.98285165834389</v>
      </c>
      <c r="I759" s="304">
        <f t="shared" ca="1" si="332"/>
        <v>105.16504731849908</v>
      </c>
      <c r="J759" s="306">
        <f t="shared" ca="1" si="333"/>
        <v>745.87074281998321</v>
      </c>
      <c r="K759" s="307">
        <f t="shared" ca="1" si="334"/>
        <v>-11.177040307375814</v>
      </c>
      <c r="L759" s="304">
        <f t="shared" ca="1" si="319"/>
        <v>745.95448334658204</v>
      </c>
      <c r="M759" s="306">
        <f t="shared" ca="1" si="335"/>
        <v>-1.511924024316267</v>
      </c>
      <c r="N759" s="304">
        <f t="shared" ca="1" si="336"/>
        <v>-86.626865537756956</v>
      </c>
      <c r="P759" s="310">
        <f t="shared" ca="1" si="337"/>
        <v>23</v>
      </c>
      <c r="Q759" s="304">
        <f t="shared" ca="1" si="338"/>
        <v>0</v>
      </c>
      <c r="R759" s="306">
        <f t="shared" ca="1" si="339"/>
        <v>0</v>
      </c>
      <c r="S759" s="307">
        <f t="shared" ca="1" si="340"/>
        <v>2.9792999999999985</v>
      </c>
      <c r="T759" s="304">
        <f t="shared" ca="1" si="320"/>
        <v>29.226932999999988</v>
      </c>
      <c r="U759" s="311">
        <f t="shared" ca="1" si="321"/>
        <v>0</v>
      </c>
      <c r="V759" s="306">
        <f t="shared" ca="1" si="322"/>
        <v>1.22636995303867</v>
      </c>
      <c r="W759" s="304">
        <f t="shared" ca="1" si="323"/>
        <v>27.773922161188075</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0.4707243408400803</v>
      </c>
      <c r="AH759" s="304">
        <f t="shared" ca="1" si="347"/>
        <v>-9.3222797770814498</v>
      </c>
    </row>
    <row r="760" spans="1:34" x14ac:dyDescent="0.2">
      <c r="A760" s="347">
        <f t="shared" ca="1" si="325"/>
        <v>1E-4</v>
      </c>
      <c r="B760" s="304">
        <f t="shared" ca="1" si="326"/>
        <v>36.824000000001007</v>
      </c>
      <c r="D760" s="306">
        <f t="shared" ca="1" si="327"/>
        <v>-0.54850816401493785</v>
      </c>
      <c r="E760" s="307">
        <f t="shared" ca="1" si="328"/>
        <v>-0.50385272500942868</v>
      </c>
      <c r="F760" s="304">
        <f t="shared" ca="1" si="329"/>
        <v>0.74480116439924071</v>
      </c>
      <c r="G760" s="306">
        <f t="shared" ca="1" si="330"/>
        <v>6.1876777859668532</v>
      </c>
      <c r="H760" s="307">
        <f t="shared" ca="1" si="331"/>
        <v>-104.98290204361639</v>
      </c>
      <c r="I760" s="304">
        <f t="shared" ca="1" si="332"/>
        <v>105.16509438916746</v>
      </c>
      <c r="J760" s="306">
        <f t="shared" ca="1" si="333"/>
        <v>745.87074281998321</v>
      </c>
      <c r="K760" s="307">
        <f t="shared" ca="1" si="334"/>
        <v>-11.187538595060911</v>
      </c>
      <c r="L760" s="304">
        <f t="shared" ca="1" si="319"/>
        <v>745.9546407219741</v>
      </c>
      <c r="M760" s="306">
        <f t="shared" ca="1" si="335"/>
        <v>-1.5119245731711219</v>
      </c>
      <c r="N760" s="304">
        <f t="shared" ca="1" si="336"/>
        <v>-86.626896984823702</v>
      </c>
      <c r="P760" s="310">
        <f t="shared" ca="1" si="337"/>
        <v>23</v>
      </c>
      <c r="Q760" s="304">
        <f t="shared" ca="1" si="338"/>
        <v>0</v>
      </c>
      <c r="R760" s="306">
        <f t="shared" ca="1" si="339"/>
        <v>0</v>
      </c>
      <c r="S760" s="307">
        <f t="shared" ca="1" si="340"/>
        <v>2.9792999999999985</v>
      </c>
      <c r="T760" s="304">
        <f t="shared" ca="1" si="320"/>
        <v>29.226932999999988</v>
      </c>
      <c r="U760" s="311">
        <f t="shared" ca="1" si="321"/>
        <v>0</v>
      </c>
      <c r="V760" s="306">
        <f t="shared" ca="1" si="322"/>
        <v>1.2263712405182061</v>
      </c>
      <c r="W760" s="304">
        <f t="shared" ca="1" si="323"/>
        <v>27.773976181684354</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0.47070652542360669</v>
      </c>
      <c r="AH760" s="304">
        <f t="shared" ca="1" si="347"/>
        <v>-9.3222979093035576</v>
      </c>
    </row>
    <row r="761" spans="1:34" x14ac:dyDescent="0.2">
      <c r="A761" s="347">
        <f t="shared" ca="1" si="325"/>
        <v>1E-4</v>
      </c>
      <c r="B761" s="304">
        <f t="shared" ca="1" si="326"/>
        <v>36.82410000000101</v>
      </c>
      <c r="D761" s="306">
        <f t="shared" ca="1" si="327"/>
        <v>-0.54850412313348629</v>
      </c>
      <c r="E761" s="307">
        <f t="shared" ca="1" si="328"/>
        <v>-0.50383432342948886</v>
      </c>
      <c r="F761" s="304">
        <f t="shared" ca="1" si="329"/>
        <v>0.74478574003540476</v>
      </c>
      <c r="G761" s="306">
        <f t="shared" ca="1" si="330"/>
        <v>6.1876229355545398</v>
      </c>
      <c r="H761" s="307">
        <f t="shared" ca="1" si="331"/>
        <v>-104.98295242704873</v>
      </c>
      <c r="I761" s="304">
        <f t="shared" ca="1" si="332"/>
        <v>105.16514145805434</v>
      </c>
      <c r="J761" s="306">
        <f t="shared" ca="1" si="333"/>
        <v>745.87074281998321</v>
      </c>
      <c r="K761" s="307">
        <f t="shared" ca="1" si="334"/>
        <v>-11.198036887784443</v>
      </c>
      <c r="L761" s="304">
        <f t="shared" ca="1" si="319"/>
        <v>745.95479824515758</v>
      </c>
      <c r="M761" s="306">
        <f t="shared" ca="1" si="335"/>
        <v>-1.51192512202062</v>
      </c>
      <c r="N761" s="304">
        <f t="shared" ca="1" si="336"/>
        <v>-86.626928431583536</v>
      </c>
      <c r="P761" s="310">
        <f t="shared" ca="1" si="337"/>
        <v>23</v>
      </c>
      <c r="Q761" s="304">
        <f t="shared" ca="1" si="338"/>
        <v>0</v>
      </c>
      <c r="R761" s="306">
        <f t="shared" ca="1" si="339"/>
        <v>0</v>
      </c>
      <c r="S761" s="307">
        <f t="shared" ca="1" si="340"/>
        <v>2.9792999999999985</v>
      </c>
      <c r="T761" s="304">
        <f t="shared" ca="1" si="320"/>
        <v>29.226932999999988</v>
      </c>
      <c r="U761" s="311">
        <f t="shared" ca="1" si="321"/>
        <v>0</v>
      </c>
      <c r="V761" s="306">
        <f t="shared" ca="1" si="322"/>
        <v>1.2263725279997124</v>
      </c>
      <c r="W761" s="304">
        <f t="shared" ca="1" si="323"/>
        <v>27.7740302013476</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0.47068871028070269</v>
      </c>
      <c r="AH761" s="304">
        <f t="shared" ca="1" si="347"/>
        <v>-9.3223160412460544</v>
      </c>
    </row>
    <row r="762" spans="1:34" x14ac:dyDescent="0.2">
      <c r="A762" s="347">
        <f t="shared" ca="1" si="325"/>
        <v>1E-4</v>
      </c>
      <c r="B762" s="304">
        <f t="shared" ca="1" si="326"/>
        <v>36.824200000001014</v>
      </c>
      <c r="D762" s="306">
        <f t="shared" ca="1" si="327"/>
        <v>-0.5485000822654007</v>
      </c>
      <c r="E762" s="307">
        <f t="shared" ca="1" si="328"/>
        <v>-0.50381592213324389</v>
      </c>
      <c r="F762" s="304">
        <f t="shared" ca="1" si="329"/>
        <v>0.74477031603046739</v>
      </c>
      <c r="G762" s="306">
        <f t="shared" ca="1" si="330"/>
        <v>6.1875680855463129</v>
      </c>
      <c r="H762" s="307">
        <f t="shared" ca="1" si="331"/>
        <v>-104.98300280864095</v>
      </c>
      <c r="I762" s="304">
        <f t="shared" ca="1" si="332"/>
        <v>105.16518852515972</v>
      </c>
      <c r="J762" s="306">
        <f t="shared" ca="1" si="333"/>
        <v>745.87074281998321</v>
      </c>
      <c r="K762" s="307">
        <f t="shared" ca="1" si="334"/>
        <v>-11.208535185546229</v>
      </c>
      <c r="L762" s="304">
        <f t="shared" ca="1" si="319"/>
        <v>745.95495591613246</v>
      </c>
      <c r="M762" s="306">
        <f t="shared" ca="1" si="335"/>
        <v>-1.5119256708647617</v>
      </c>
      <c r="N762" s="304">
        <f t="shared" ca="1" si="336"/>
        <v>-86.626959878036459</v>
      </c>
      <c r="P762" s="310">
        <f t="shared" ca="1" si="337"/>
        <v>23</v>
      </c>
      <c r="Q762" s="304">
        <f t="shared" ca="1" si="338"/>
        <v>0</v>
      </c>
      <c r="R762" s="306">
        <f t="shared" ca="1" si="339"/>
        <v>0</v>
      </c>
      <c r="S762" s="307">
        <f t="shared" ca="1" si="340"/>
        <v>2.9792999999999985</v>
      </c>
      <c r="T762" s="304">
        <f t="shared" ca="1" si="320"/>
        <v>29.226932999999988</v>
      </c>
      <c r="U762" s="311">
        <f t="shared" ca="1" si="321"/>
        <v>0</v>
      </c>
      <c r="V762" s="306">
        <f t="shared" ca="1" si="322"/>
        <v>1.2263738154831885</v>
      </c>
      <c r="W762" s="304">
        <f t="shared" ca="1" si="323"/>
        <v>27.774084220177805</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0.47067089541136475</v>
      </c>
      <c r="AH762" s="304">
        <f t="shared" ca="1" si="347"/>
        <v>-9.3223341729089437</v>
      </c>
    </row>
    <row r="763" spans="1:34" x14ac:dyDescent="0.2">
      <c r="A763" s="347">
        <f t="shared" ca="1" si="325"/>
        <v>1E-4</v>
      </c>
      <c r="B763" s="304">
        <f t="shared" ca="1" si="326"/>
        <v>36.824300000001017</v>
      </c>
      <c r="D763" s="306">
        <f t="shared" ca="1" si="327"/>
        <v>-0.54849604141067743</v>
      </c>
      <c r="E763" s="307">
        <f t="shared" ca="1" si="328"/>
        <v>-0.50379752112069554</v>
      </c>
      <c r="F763" s="304">
        <f t="shared" ca="1" si="329"/>
        <v>0.74475489238442827</v>
      </c>
      <c r="G763" s="306">
        <f t="shared" ca="1" si="330"/>
        <v>6.1875132359421716</v>
      </c>
      <c r="H763" s="307">
        <f t="shared" ca="1" si="331"/>
        <v>-104.98305318839306</v>
      </c>
      <c r="I763" s="304">
        <f t="shared" ca="1" si="332"/>
        <v>105.16523559048363</v>
      </c>
      <c r="J763" s="306">
        <f t="shared" ca="1" si="333"/>
        <v>745.87074281998321</v>
      </c>
      <c r="K763" s="307">
        <f t="shared" ca="1" si="334"/>
        <v>-11.21903348834608</v>
      </c>
      <c r="L763" s="304">
        <f t="shared" ca="1" si="319"/>
        <v>745.9551137348991</v>
      </c>
      <c r="M763" s="306">
        <f t="shared" ca="1" si="335"/>
        <v>-1.5119262197035468</v>
      </c>
      <c r="N763" s="304">
        <f t="shared" ca="1" si="336"/>
        <v>-86.626991324182484</v>
      </c>
      <c r="P763" s="310">
        <f t="shared" ca="1" si="337"/>
        <v>23</v>
      </c>
      <c r="Q763" s="304">
        <f t="shared" ca="1" si="338"/>
        <v>0</v>
      </c>
      <c r="R763" s="306">
        <f t="shared" ca="1" si="339"/>
        <v>0</v>
      </c>
      <c r="S763" s="307">
        <f t="shared" ca="1" si="340"/>
        <v>2.9792999999999985</v>
      </c>
      <c r="T763" s="304">
        <f t="shared" ca="1" si="320"/>
        <v>29.226932999999988</v>
      </c>
      <c r="U763" s="311">
        <f t="shared" ca="1" si="321"/>
        <v>0</v>
      </c>
      <c r="V763" s="306">
        <f t="shared" ca="1" si="322"/>
        <v>1.2263751029686352</v>
      </c>
      <c r="W763" s="304">
        <f t="shared" ca="1" si="323"/>
        <v>27.774138238174981</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0.47065308081559465</v>
      </c>
      <c r="AH763" s="304">
        <f t="shared" ca="1" si="347"/>
        <v>-9.3223523042922221</v>
      </c>
    </row>
    <row r="764" spans="1:34" x14ac:dyDescent="0.2">
      <c r="A764" s="347">
        <f t="shared" ca="1" si="325"/>
        <v>1E-4</v>
      </c>
      <c r="B764" s="304">
        <f t="shared" ca="1" si="326"/>
        <v>36.82440000000102</v>
      </c>
      <c r="D764" s="306">
        <f t="shared" ca="1" si="327"/>
        <v>-0.54849200056931979</v>
      </c>
      <c r="E764" s="307">
        <f t="shared" ca="1" si="328"/>
        <v>-0.5037791203918367</v>
      </c>
      <c r="F764" s="304">
        <f t="shared" ca="1" si="329"/>
        <v>0.74473946909728606</v>
      </c>
      <c r="G764" s="306">
        <f t="shared" ca="1" si="330"/>
        <v>6.1874583867421151</v>
      </c>
      <c r="H764" s="307">
        <f t="shared" ca="1" si="331"/>
        <v>-104.98310356630509</v>
      </c>
      <c r="I764" s="304">
        <f t="shared" ca="1" si="332"/>
        <v>105.16528265402611</v>
      </c>
      <c r="J764" s="306">
        <f t="shared" ca="1" si="333"/>
        <v>745.87074281998321</v>
      </c>
      <c r="K764" s="307">
        <f t="shared" ca="1" si="334"/>
        <v>-11.229531796183814</v>
      </c>
      <c r="L764" s="304">
        <f t="shared" ca="1" si="319"/>
        <v>745.95527170145738</v>
      </c>
      <c r="M764" s="306">
        <f t="shared" ca="1" si="335"/>
        <v>-1.5119267685369757</v>
      </c>
      <c r="N764" s="304">
        <f t="shared" ca="1" si="336"/>
        <v>-86.627022770021611</v>
      </c>
      <c r="P764" s="310">
        <f t="shared" ca="1" si="337"/>
        <v>23</v>
      </c>
      <c r="Q764" s="304">
        <f t="shared" ca="1" si="338"/>
        <v>0</v>
      </c>
      <c r="R764" s="306">
        <f t="shared" ca="1" si="339"/>
        <v>0</v>
      </c>
      <c r="S764" s="307">
        <f t="shared" ca="1" si="340"/>
        <v>2.9792999999999985</v>
      </c>
      <c r="T764" s="304">
        <f t="shared" ca="1" si="320"/>
        <v>29.226932999999988</v>
      </c>
      <c r="U764" s="311">
        <f t="shared" ca="1" si="321"/>
        <v>0</v>
      </c>
      <c r="V764" s="306">
        <f t="shared" ca="1" si="322"/>
        <v>1.2263763904560521</v>
      </c>
      <c r="W764" s="304">
        <f t="shared" ca="1" si="323"/>
        <v>27.774192255339159</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0.47063526649338705</v>
      </c>
      <c r="AH764" s="304">
        <f t="shared" ca="1" si="347"/>
        <v>-9.3223704353958965</v>
      </c>
    </row>
    <row r="765" spans="1:34" x14ac:dyDescent="0.2">
      <c r="A765" s="347">
        <f t="shared" ca="1" si="325"/>
        <v>1E-4</v>
      </c>
      <c r="B765" s="304">
        <f t="shared" ca="1" si="326"/>
        <v>36.824500000001024</v>
      </c>
      <c r="D765" s="306">
        <f t="shared" ca="1" si="327"/>
        <v>-0.5484879597413248</v>
      </c>
      <c r="E765" s="307">
        <f t="shared" ca="1" si="328"/>
        <v>-0.5037607199466585</v>
      </c>
      <c r="F765" s="304">
        <f t="shared" ca="1" si="329"/>
        <v>0.74472404616903354</v>
      </c>
      <c r="G765" s="306">
        <f t="shared" ca="1" si="330"/>
        <v>6.1874035379461407</v>
      </c>
      <c r="H765" s="307">
        <f t="shared" ca="1" si="331"/>
        <v>-104.98315394237709</v>
      </c>
      <c r="I765" s="304">
        <f t="shared" ca="1" si="332"/>
        <v>105.16532971578719</v>
      </c>
      <c r="J765" s="306">
        <f t="shared" ca="1" si="333"/>
        <v>745.87074281998321</v>
      </c>
      <c r="K765" s="307">
        <f t="shared" ca="1" si="334"/>
        <v>-11.240030109059248</v>
      </c>
      <c r="L765" s="304">
        <f t="shared" ca="1" si="319"/>
        <v>745.95542981580741</v>
      </c>
      <c r="M765" s="306">
        <f t="shared" ca="1" si="335"/>
        <v>-1.511927317365048</v>
      </c>
      <c r="N765" s="304">
        <f t="shared" ca="1" si="336"/>
        <v>-86.627054215553841</v>
      </c>
      <c r="P765" s="310">
        <f t="shared" ca="1" si="337"/>
        <v>23</v>
      </c>
      <c r="Q765" s="304">
        <f t="shared" ca="1" si="338"/>
        <v>0</v>
      </c>
      <c r="R765" s="306">
        <f t="shared" ca="1" si="339"/>
        <v>0</v>
      </c>
      <c r="S765" s="307">
        <f t="shared" ca="1" si="340"/>
        <v>2.9792999999999985</v>
      </c>
      <c r="T765" s="304">
        <f t="shared" ca="1" si="320"/>
        <v>29.226932999999988</v>
      </c>
      <c r="U765" s="311">
        <f t="shared" ca="1" si="321"/>
        <v>0</v>
      </c>
      <c r="V765" s="306">
        <f t="shared" ca="1" si="322"/>
        <v>1.2263776779454394</v>
      </c>
      <c r="W765" s="304">
        <f t="shared" ca="1" si="323"/>
        <v>27.774246271670336</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0.4706174524447313</v>
      </c>
      <c r="AH765" s="304">
        <f t="shared" ca="1" si="347"/>
        <v>-9.3223885662199759</v>
      </c>
    </row>
    <row r="766" spans="1:34" x14ac:dyDescent="0.2">
      <c r="A766" s="347">
        <f t="shared" ca="1" si="325"/>
        <v>1E-4</v>
      </c>
      <c r="B766" s="304">
        <f t="shared" ca="1" si="326"/>
        <v>36.824600000001027</v>
      </c>
      <c r="D766" s="306">
        <f t="shared" ca="1" si="327"/>
        <v>-0.54848391892669734</v>
      </c>
      <c r="E766" s="307">
        <f t="shared" ca="1" si="328"/>
        <v>-0.50374231978516271</v>
      </c>
      <c r="F766" s="304">
        <f t="shared" ca="1" si="329"/>
        <v>0.74470862359967671</v>
      </c>
      <c r="G766" s="306">
        <f t="shared" ca="1" si="330"/>
        <v>6.1873486895542484</v>
      </c>
      <c r="H766" s="307">
        <f t="shared" ca="1" si="331"/>
        <v>-104.98320431660906</v>
      </c>
      <c r="I766" s="304">
        <f t="shared" ca="1" si="332"/>
        <v>105.1653767757669</v>
      </c>
      <c r="J766" s="306">
        <f t="shared" ca="1" si="333"/>
        <v>745.87074281998321</v>
      </c>
      <c r="K766" s="307">
        <f t="shared" ca="1" si="334"/>
        <v>-11.250528426972197</v>
      </c>
      <c r="L766" s="304">
        <f t="shared" ca="1" si="319"/>
        <v>745.95558807794964</v>
      </c>
      <c r="M766" s="306">
        <f t="shared" ca="1" si="335"/>
        <v>-1.5119278661877642</v>
      </c>
      <c r="N766" s="304">
        <f t="shared" ca="1" si="336"/>
        <v>-86.627085660779173</v>
      </c>
      <c r="P766" s="310">
        <f t="shared" ca="1" si="337"/>
        <v>23</v>
      </c>
      <c r="Q766" s="304">
        <f t="shared" ca="1" si="338"/>
        <v>0</v>
      </c>
      <c r="R766" s="306">
        <f t="shared" ca="1" si="339"/>
        <v>0</v>
      </c>
      <c r="S766" s="307">
        <f t="shared" ca="1" si="340"/>
        <v>2.9792999999999985</v>
      </c>
      <c r="T766" s="304">
        <f t="shared" ca="1" si="320"/>
        <v>29.226932999999988</v>
      </c>
      <c r="U766" s="311">
        <f t="shared" ca="1" si="321"/>
        <v>0</v>
      </c>
      <c r="V766" s="306">
        <f t="shared" ca="1" si="322"/>
        <v>1.2263789654367965</v>
      </c>
      <c r="W766" s="304">
        <f t="shared" ca="1" si="323"/>
        <v>27.774300287168519</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0.4705996386696345</v>
      </c>
      <c r="AH766" s="304">
        <f t="shared" ca="1" si="347"/>
        <v>-9.3224066967644585</v>
      </c>
    </row>
    <row r="767" spans="1:34" x14ac:dyDescent="0.2">
      <c r="A767" s="347">
        <f t="shared" ca="1" si="325"/>
        <v>1E-4</v>
      </c>
      <c r="B767" s="304">
        <f t="shared" ca="1" si="326"/>
        <v>36.82470000000103</v>
      </c>
      <c r="D767" s="306">
        <f t="shared" ca="1" si="327"/>
        <v>-0.54847987812543419</v>
      </c>
      <c r="E767" s="307">
        <f t="shared" ca="1" si="328"/>
        <v>-0.50372391990734933</v>
      </c>
      <c r="F767" s="304">
        <f t="shared" ca="1" si="329"/>
        <v>0.74469320138921424</v>
      </c>
      <c r="G767" s="306">
        <f t="shared" ca="1" si="330"/>
        <v>6.1872938415664356</v>
      </c>
      <c r="H767" s="307">
        <f t="shared" ca="1" si="331"/>
        <v>-104.98325468900106</v>
      </c>
      <c r="I767" s="304">
        <f t="shared" ca="1" si="332"/>
        <v>105.16542383396526</v>
      </c>
      <c r="J767" s="306">
        <f t="shared" ca="1" si="333"/>
        <v>745.87074281998321</v>
      </c>
      <c r="K767" s="307">
        <f t="shared" ca="1" si="334"/>
        <v>-11.261026749922477</v>
      </c>
      <c r="L767" s="304">
        <f t="shared" ca="1" si="319"/>
        <v>745.95574648788386</v>
      </c>
      <c r="M767" s="306">
        <f t="shared" ca="1" si="335"/>
        <v>-1.5119284150051242</v>
      </c>
      <c r="N767" s="304">
        <f t="shared" ca="1" si="336"/>
        <v>-86.627117105697621</v>
      </c>
      <c r="P767" s="310">
        <f t="shared" ca="1" si="337"/>
        <v>23</v>
      </c>
      <c r="Q767" s="304">
        <f t="shared" ca="1" si="338"/>
        <v>0</v>
      </c>
      <c r="R767" s="306">
        <f t="shared" ca="1" si="339"/>
        <v>0</v>
      </c>
      <c r="S767" s="307">
        <f t="shared" ca="1" si="340"/>
        <v>2.9792999999999985</v>
      </c>
      <c r="T767" s="304">
        <f t="shared" ca="1" si="320"/>
        <v>29.226932999999988</v>
      </c>
      <c r="U767" s="311">
        <f t="shared" ca="1" si="321"/>
        <v>0</v>
      </c>
      <c r="V767" s="306">
        <f t="shared" ca="1" si="322"/>
        <v>1.226380252930124</v>
      </c>
      <c r="W767" s="304">
        <f t="shared" ca="1" si="323"/>
        <v>27.774354301833728</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0.47058182516808955</v>
      </c>
      <c r="AH767" s="304">
        <f t="shared" ca="1" si="347"/>
        <v>-9.3224248270293462</v>
      </c>
    </row>
    <row r="768" spans="1:34" x14ac:dyDescent="0.2">
      <c r="A768" s="347">
        <f t="shared" ca="1" si="325"/>
        <v>1E-4</v>
      </c>
      <c r="B768" s="304">
        <f t="shared" ca="1" si="326"/>
        <v>36.824800000001034</v>
      </c>
      <c r="D768" s="306">
        <f t="shared" ca="1" si="327"/>
        <v>-0.54847583733753646</v>
      </c>
      <c r="E768" s="307">
        <f t="shared" ca="1" si="328"/>
        <v>-0.5037055203132077</v>
      </c>
      <c r="F768" s="304">
        <f t="shared" ca="1" si="329"/>
        <v>0.7446777795376408</v>
      </c>
      <c r="G768" s="306">
        <f t="shared" ca="1" si="330"/>
        <v>6.1872389939827022</v>
      </c>
      <c r="H768" s="307">
        <f t="shared" ca="1" si="331"/>
        <v>-104.98330505955309</v>
      </c>
      <c r="I768" s="304">
        <f t="shared" ca="1" si="332"/>
        <v>105.1654708903823</v>
      </c>
      <c r="J768" s="306">
        <f t="shared" ca="1" si="333"/>
        <v>745.87074281998321</v>
      </c>
      <c r="K768" s="307">
        <f t="shared" ca="1" si="334"/>
        <v>-11.271525077909905</v>
      </c>
      <c r="L768" s="304">
        <f t="shared" ca="1" si="319"/>
        <v>745.95590504561028</v>
      </c>
      <c r="M768" s="306">
        <f t="shared" ca="1" si="335"/>
        <v>-1.5119289638171278</v>
      </c>
      <c r="N768" s="304">
        <f t="shared" ca="1" si="336"/>
        <v>-86.627148550309172</v>
      </c>
      <c r="P768" s="310">
        <f t="shared" ca="1" si="337"/>
        <v>23</v>
      </c>
      <c r="Q768" s="304">
        <f t="shared" ca="1" si="338"/>
        <v>0</v>
      </c>
      <c r="R768" s="306">
        <f t="shared" ca="1" si="339"/>
        <v>0</v>
      </c>
      <c r="S768" s="307">
        <f t="shared" ca="1" si="340"/>
        <v>2.9792999999999985</v>
      </c>
      <c r="T768" s="304">
        <f t="shared" ca="1" si="320"/>
        <v>29.226932999999988</v>
      </c>
      <c r="U768" s="311">
        <f t="shared" ca="1" si="321"/>
        <v>0</v>
      </c>
      <c r="V768" s="306">
        <f t="shared" ca="1" si="322"/>
        <v>1.2263815404254217</v>
      </c>
      <c r="W768" s="304">
        <f t="shared" ca="1" si="323"/>
        <v>27.774408315665962</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0.47056401194008934</v>
      </c>
      <c r="AH768" s="304">
        <f t="shared" ca="1" si="347"/>
        <v>-9.3224429570146476</v>
      </c>
    </row>
    <row r="769" spans="1:34" x14ac:dyDescent="0.2">
      <c r="A769" s="347">
        <f t="shared" ca="1" si="325"/>
        <v>1E-4</v>
      </c>
      <c r="B769" s="304">
        <f t="shared" ca="1" si="326"/>
        <v>36.824900000001037</v>
      </c>
      <c r="D769" s="306">
        <f t="shared" ca="1" si="327"/>
        <v>-0.54847179656300715</v>
      </c>
      <c r="E769" s="307">
        <f t="shared" ca="1" si="328"/>
        <v>-0.50368712100273605</v>
      </c>
      <c r="F769" s="304">
        <f t="shared" ca="1" si="329"/>
        <v>0.74466235804495828</v>
      </c>
      <c r="G769" s="306">
        <f t="shared" ca="1" si="330"/>
        <v>6.1871841468030455</v>
      </c>
      <c r="H769" s="307">
        <f t="shared" ca="1" si="331"/>
        <v>-104.98335542826518</v>
      </c>
      <c r="I769" s="304">
        <f t="shared" ca="1" si="332"/>
        <v>105.16551794501802</v>
      </c>
      <c r="J769" s="306">
        <f t="shared" ca="1" si="333"/>
        <v>745.87074281998321</v>
      </c>
      <c r="K769" s="307">
        <f t="shared" ca="1" si="334"/>
        <v>-11.282023410934295</v>
      </c>
      <c r="L769" s="304">
        <f t="shared" ca="1" si="319"/>
        <v>745.95606375112891</v>
      </c>
      <c r="M769" s="306">
        <f t="shared" ca="1" si="335"/>
        <v>-1.5119295126237755</v>
      </c>
      <c r="N769" s="304">
        <f t="shared" ca="1" si="336"/>
        <v>-86.627179994613854</v>
      </c>
      <c r="P769" s="310">
        <f t="shared" ca="1" si="337"/>
        <v>23</v>
      </c>
      <c r="Q769" s="304">
        <f t="shared" ca="1" si="338"/>
        <v>0</v>
      </c>
      <c r="R769" s="306">
        <f t="shared" ca="1" si="339"/>
        <v>0</v>
      </c>
      <c r="S769" s="307">
        <f t="shared" ca="1" si="340"/>
        <v>2.9792999999999985</v>
      </c>
      <c r="T769" s="304">
        <f t="shared" ca="1" si="320"/>
        <v>29.226932999999988</v>
      </c>
      <c r="U769" s="311">
        <f t="shared" ca="1" si="321"/>
        <v>0</v>
      </c>
      <c r="V769" s="306">
        <f t="shared" ca="1" si="322"/>
        <v>1.2263828279226894</v>
      </c>
      <c r="W769" s="304">
        <f t="shared" ca="1" si="323"/>
        <v>27.774462328665233</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0.47054619898563388</v>
      </c>
      <c r="AH769" s="304">
        <f t="shared" ca="1" si="347"/>
        <v>-9.322461086720363</v>
      </c>
    </row>
    <row r="770" spans="1:34" x14ac:dyDescent="0.2">
      <c r="A770" s="347">
        <f t="shared" ca="1" si="325"/>
        <v>1E-4</v>
      </c>
      <c r="B770" s="304">
        <f t="shared" ca="1" si="326"/>
        <v>36.82500000000104</v>
      </c>
      <c r="D770" s="306">
        <f t="shared" ca="1" si="327"/>
        <v>-0.54846775580184293</v>
      </c>
      <c r="E770" s="307">
        <f t="shared" ca="1" si="328"/>
        <v>-0.50366872197593437</v>
      </c>
      <c r="F770" s="304">
        <f t="shared" ca="1" si="329"/>
        <v>0.74464693691116535</v>
      </c>
      <c r="G770" s="306">
        <f t="shared" ca="1" si="330"/>
        <v>6.1871293000274656</v>
      </c>
      <c r="H770" s="307">
        <f t="shared" ca="1" si="331"/>
        <v>-104.98340579513739</v>
      </c>
      <c r="I770" s="304">
        <f t="shared" ca="1" si="332"/>
        <v>105.16556499787249</v>
      </c>
      <c r="J770" s="306">
        <f t="shared" ca="1" si="333"/>
        <v>745.87074281998321</v>
      </c>
      <c r="K770" s="307">
        <f t="shared" ca="1" si="334"/>
        <v>-11.292521748995465</v>
      </c>
      <c r="L770" s="304">
        <f t="shared" ca="1" si="319"/>
        <v>745.9562226044402</v>
      </c>
      <c r="M770" s="306">
        <f t="shared" ca="1" si="335"/>
        <v>-1.511930061425067</v>
      </c>
      <c r="N770" s="304">
        <f t="shared" ca="1" si="336"/>
        <v>-86.627211438611653</v>
      </c>
      <c r="P770" s="310">
        <f t="shared" ca="1" si="337"/>
        <v>23</v>
      </c>
      <c r="Q770" s="304">
        <f t="shared" ca="1" si="338"/>
        <v>0</v>
      </c>
      <c r="R770" s="306">
        <f t="shared" ca="1" si="339"/>
        <v>0</v>
      </c>
      <c r="S770" s="307">
        <f t="shared" ca="1" si="340"/>
        <v>2.9792999999999985</v>
      </c>
      <c r="T770" s="304">
        <f t="shared" ca="1" si="320"/>
        <v>29.226932999999988</v>
      </c>
      <c r="U770" s="311">
        <f t="shared" ca="1" si="321"/>
        <v>0</v>
      </c>
      <c r="V770" s="306">
        <f t="shared" ca="1" si="322"/>
        <v>1.226384115421927</v>
      </c>
      <c r="W770" s="304">
        <f t="shared" ca="1" si="323"/>
        <v>27.774516340831553</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0.47052838630472493</v>
      </c>
      <c r="AH770" s="304">
        <f t="shared" ca="1" si="347"/>
        <v>-9.322479216146494</v>
      </c>
    </row>
    <row r="771" spans="1:34" x14ac:dyDescent="0.2">
      <c r="A771" s="347">
        <f t="shared" ca="1" si="325"/>
        <v>1E-4</v>
      </c>
      <c r="B771" s="304">
        <f t="shared" ca="1" si="326"/>
        <v>36.825100000001044</v>
      </c>
      <c r="D771" s="306">
        <f t="shared" ca="1" si="327"/>
        <v>-0.54846371505404679</v>
      </c>
      <c r="E771" s="307">
        <f t="shared" ca="1" si="328"/>
        <v>-0.5036503232328009</v>
      </c>
      <c r="F771" s="304">
        <f t="shared" ca="1" si="329"/>
        <v>0.74463151613626422</v>
      </c>
      <c r="G771" s="306">
        <f t="shared" ca="1" si="330"/>
        <v>6.1870744536559599</v>
      </c>
      <c r="H771" s="307">
        <f t="shared" ca="1" si="331"/>
        <v>-104.98345616016971</v>
      </c>
      <c r="I771" s="304">
        <f t="shared" ca="1" si="332"/>
        <v>105.16561204894572</v>
      </c>
      <c r="J771" s="306">
        <f t="shared" ca="1" si="333"/>
        <v>745.87074281998321</v>
      </c>
      <c r="K771" s="307">
        <f t="shared" ca="1" si="334"/>
        <v>-11.303020092093231</v>
      </c>
      <c r="L771" s="304">
        <f t="shared" ca="1" si="319"/>
        <v>745.95638160554392</v>
      </c>
      <c r="M771" s="306">
        <f t="shared" ca="1" si="335"/>
        <v>-1.5119306102210028</v>
      </c>
      <c r="N771" s="304">
        <f t="shared" ca="1" si="336"/>
        <v>-86.627242882302596</v>
      </c>
      <c r="P771" s="310">
        <f t="shared" ca="1" si="337"/>
        <v>23</v>
      </c>
      <c r="Q771" s="304">
        <f t="shared" ca="1" si="338"/>
        <v>0</v>
      </c>
      <c r="R771" s="306">
        <f t="shared" ca="1" si="339"/>
        <v>0</v>
      </c>
      <c r="S771" s="307">
        <f t="shared" ca="1" si="340"/>
        <v>2.9792999999999985</v>
      </c>
      <c r="T771" s="304">
        <f t="shared" ca="1" si="320"/>
        <v>29.226932999999988</v>
      </c>
      <c r="U771" s="311">
        <f t="shared" ca="1" si="321"/>
        <v>0</v>
      </c>
      <c r="V771" s="306">
        <f t="shared" ca="1" si="322"/>
        <v>1.2263854029231354</v>
      </c>
      <c r="W771" s="304">
        <f t="shared" ca="1" si="323"/>
        <v>27.77457035216494</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0.47051057389735362</v>
      </c>
      <c r="AH771" s="304">
        <f t="shared" ca="1" si="347"/>
        <v>-9.3224973452930442</v>
      </c>
    </row>
    <row r="772" spans="1:34" x14ac:dyDescent="0.2">
      <c r="A772" s="347">
        <f t="shared" ca="1" si="325"/>
        <v>1E-4</v>
      </c>
      <c r="B772" s="304">
        <f t="shared" ca="1" si="326"/>
        <v>36.825200000001047</v>
      </c>
      <c r="D772" s="306">
        <f t="shared" ca="1" si="327"/>
        <v>-0.54845967431961573</v>
      </c>
      <c r="E772" s="307">
        <f t="shared" ca="1" si="328"/>
        <v>-0.50363192477332319</v>
      </c>
      <c r="F772" s="304">
        <f t="shared" ca="1" si="329"/>
        <v>0.74461609572024512</v>
      </c>
      <c r="G772" s="306">
        <f t="shared" ca="1" si="330"/>
        <v>6.1870196076885282</v>
      </c>
      <c r="H772" s="307">
        <f t="shared" ca="1" si="331"/>
        <v>-104.98350652336218</v>
      </c>
      <c r="I772" s="304">
        <f t="shared" ca="1" si="332"/>
        <v>105.16565909823773</v>
      </c>
      <c r="J772" s="306">
        <f t="shared" ca="1" si="333"/>
        <v>745.87074281998321</v>
      </c>
      <c r="K772" s="307">
        <f t="shared" ca="1" si="334"/>
        <v>-11.313518440227407</v>
      </c>
      <c r="L772" s="304">
        <f t="shared" ref="L772:L835" ca="1" si="348">SQRT(pos_x^2+pos_z^2)</f>
        <v>745.95654075444031</v>
      </c>
      <c r="M772" s="306">
        <f t="shared" ca="1" si="335"/>
        <v>-1.5119311590115825</v>
      </c>
      <c r="N772" s="304">
        <f t="shared" ca="1" si="336"/>
        <v>-86.627274325686642</v>
      </c>
      <c r="P772" s="310">
        <f t="shared" ca="1" si="337"/>
        <v>23</v>
      </c>
      <c r="Q772" s="304">
        <f t="shared" ca="1" si="338"/>
        <v>0</v>
      </c>
      <c r="R772" s="306">
        <f t="shared" ca="1" si="339"/>
        <v>0</v>
      </c>
      <c r="S772" s="307">
        <f t="shared" ca="1" si="340"/>
        <v>2.9792999999999985</v>
      </c>
      <c r="T772" s="304">
        <f t="shared" ref="T772:T835" ca="1" si="349">m*g</f>
        <v>29.226932999999988</v>
      </c>
      <c r="U772" s="311">
        <f t="shared" ref="U772:U835" ca="1" si="350">IF(pos_xz&lt;L_rampe,Poids*COS(Beta),0)</f>
        <v>0</v>
      </c>
      <c r="V772" s="306">
        <f t="shared" ref="V772:V835" ca="1" si="351">Rho_moyen*(20000-Alt_rampe-pos_z)/(20000+Alt_rampe+pos_z)</f>
        <v>1.2263866904263132</v>
      </c>
      <c r="W772" s="304">
        <f t="shared" ref="W772:W835" ca="1" si="352">1/2*Rho*Sref*Cx*vit_xz^2</f>
        <v>27.774624362665385</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0.47049276176351462</v>
      </c>
      <c r="AH772" s="304">
        <f t="shared" ca="1" si="347"/>
        <v>-9.3225154741600225</v>
      </c>
    </row>
    <row r="773" spans="1:34" x14ac:dyDescent="0.2">
      <c r="A773" s="347">
        <f t="shared" ref="A773:A836" ca="1" si="354">IF(B772+0.01&lt;=T_ini+ROUNDUP(Temps_fin_propu,0), 0.01, IF(K772&gt;0, 0.1, 0.0001))</f>
        <v>1E-4</v>
      </c>
      <c r="B773" s="304">
        <f t="shared" ref="B773:B836" ca="1" si="355">B772+pas</f>
        <v>36.82530000000105</v>
      </c>
      <c r="D773" s="306">
        <f t="shared" ref="D773:D836" ca="1" si="356">IF(AND(L772&lt;L_rampe,Poussee&lt;Poids*SIN(M772)),0,(-W772+Poussee)/m*COS(M772)-U772/m*SIN(M772))</f>
        <v>-0.54845563359855465</v>
      </c>
      <c r="E773" s="307">
        <f t="shared" ref="E773:E836" ca="1" si="357">IF(AND(L772&lt;L_rampe,Poussee&lt;Poids*SIN(M772)),0,(-W772+Poussee)/m*SIN(M772)+U772/m*COS(M772)-Poids/m)</f>
        <v>-0.50361352659750835</v>
      </c>
      <c r="F773" s="304">
        <f t="shared" ref="F773:F836" ca="1" si="358">SQRT(acc_x^2+acc_z^2)</f>
        <v>0.74460067566311761</v>
      </c>
      <c r="G773" s="306">
        <f t="shared" ref="G773:G836" ca="1" si="359">G772+acc_x*pas</f>
        <v>6.186964762125168</v>
      </c>
      <c r="H773" s="307">
        <f t="shared" ref="H773:H836" ca="1" si="360">H772+acc_z*pas</f>
        <v>-104.98355688471484</v>
      </c>
      <c r="I773" s="304">
        <f t="shared" ref="I773:I836" ca="1" si="361">SQRT(vit_x^2+vit_z^2)</f>
        <v>105.16570614574856</v>
      </c>
      <c r="J773" s="306">
        <f t="shared" ref="J773:J836" ca="1" si="362">J772+0.5*(vit_x+G772)*pas*(K772&gt;=0)</f>
        <v>745.87074281998321</v>
      </c>
      <c r="K773" s="307">
        <f t="shared" ref="K773:K836" ca="1" si="363">K772+0.5*(vit_z+H772)*pas</f>
        <v>-11.32401679339781</v>
      </c>
      <c r="L773" s="304">
        <f t="shared" ca="1" si="348"/>
        <v>745.95670005112947</v>
      </c>
      <c r="M773" s="306">
        <f t="shared" ref="M773:M836" ca="1" si="364">IF(AND(L772&gt;L_rampe,G773&gt;0),ATAN2(G773,H773),$M$4)</f>
        <v>-1.5119317077968064</v>
      </c>
      <c r="N773" s="304">
        <f t="shared" ref="N773:N836" ca="1" si="365">DEGREES(Beta)</f>
        <v>-86.627305768763833</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2.9792999999999985</v>
      </c>
      <c r="T773" s="304">
        <f t="shared" ca="1" si="349"/>
        <v>29.226932999999988</v>
      </c>
      <c r="U773" s="311">
        <f t="shared" ca="1" si="350"/>
        <v>0</v>
      </c>
      <c r="V773" s="306">
        <f t="shared" ca="1" si="351"/>
        <v>1.2263879779314615</v>
      </c>
      <c r="W773" s="304">
        <f t="shared" ca="1" si="352"/>
        <v>27.774678372332918</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0.47047494990321148</v>
      </c>
      <c r="AH773" s="304">
        <f t="shared" ref="AH773:AH836" ca="1" si="376">IF(AND(L772&lt;L_rampe,Poussee&lt;Poids*SIN(M772)), g*SIN(M772), (-W772+Poussee)/m)</f>
        <v>-9.3225336027474235</v>
      </c>
    </row>
    <row r="774" spans="1:34" x14ac:dyDescent="0.2">
      <c r="A774" s="347">
        <f t="shared" ca="1" si="354"/>
        <v>1E-4</v>
      </c>
      <c r="B774" s="304">
        <f t="shared" ca="1" si="355"/>
        <v>36.825400000001054</v>
      </c>
      <c r="D774" s="306">
        <f t="shared" ca="1" si="356"/>
        <v>-0.54845159289086065</v>
      </c>
      <c r="E774" s="307">
        <f t="shared" ca="1" si="357"/>
        <v>-0.50359512870534573</v>
      </c>
      <c r="F774" s="304">
        <f t="shared" ca="1" si="358"/>
        <v>0.74458525596487346</v>
      </c>
      <c r="G774" s="306">
        <f t="shared" ca="1" si="359"/>
        <v>6.1869099169658792</v>
      </c>
      <c r="H774" s="307">
        <f t="shared" ca="1" si="360"/>
        <v>-104.98360724422771</v>
      </c>
      <c r="I774" s="304">
        <f t="shared" ca="1" si="361"/>
        <v>105.16575319147823</v>
      </c>
      <c r="J774" s="306">
        <f t="shared" ca="1" si="362"/>
        <v>745.87074281998321</v>
      </c>
      <c r="K774" s="307">
        <f t="shared" ca="1" si="363"/>
        <v>-11.334515151604258</v>
      </c>
      <c r="L774" s="304">
        <f t="shared" ca="1" si="348"/>
        <v>745.95685949561152</v>
      </c>
      <c r="M774" s="306">
        <f t="shared" ca="1" si="364"/>
        <v>-1.5119322565766746</v>
      </c>
      <c r="N774" s="304">
        <f t="shared" ca="1" si="365"/>
        <v>-86.627337211534154</v>
      </c>
      <c r="P774" s="310">
        <f t="shared" ca="1" si="366"/>
        <v>23</v>
      </c>
      <c r="Q774" s="304">
        <f t="shared" ca="1" si="367"/>
        <v>0</v>
      </c>
      <c r="R774" s="306">
        <f t="shared" ca="1" si="368"/>
        <v>0</v>
      </c>
      <c r="S774" s="307">
        <f t="shared" ca="1" si="369"/>
        <v>2.9792999999999985</v>
      </c>
      <c r="T774" s="304">
        <f t="shared" ca="1" si="349"/>
        <v>29.226932999999988</v>
      </c>
      <c r="U774" s="311">
        <f t="shared" ca="1" si="350"/>
        <v>0</v>
      </c>
      <c r="V774" s="306">
        <f t="shared" ca="1" si="351"/>
        <v>1.2263892654385797</v>
      </c>
      <c r="W774" s="304">
        <f t="shared" ca="1" si="352"/>
        <v>27.774732381167542</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0.47045713831643532</v>
      </c>
      <c r="AH774" s="304">
        <f t="shared" ca="1" si="376"/>
        <v>-9.3225517310552579</v>
      </c>
    </row>
    <row r="775" spans="1:34" x14ac:dyDescent="0.2">
      <c r="A775" s="347">
        <f t="shared" ca="1" si="354"/>
        <v>1E-4</v>
      </c>
      <c r="B775" s="304">
        <f t="shared" ca="1" si="355"/>
        <v>36.825500000001057</v>
      </c>
      <c r="D775" s="306">
        <f t="shared" ca="1" si="356"/>
        <v>-0.54844755219653463</v>
      </c>
      <c r="E775" s="307">
        <f t="shared" ca="1" si="357"/>
        <v>-0.50357673109683532</v>
      </c>
      <c r="F775" s="304">
        <f t="shared" ca="1" si="358"/>
        <v>0.74456983662551424</v>
      </c>
      <c r="G775" s="306">
        <f t="shared" ca="1" si="359"/>
        <v>6.1868550722106592</v>
      </c>
      <c r="H775" s="307">
        <f t="shared" ca="1" si="360"/>
        <v>-104.98365760190082</v>
      </c>
      <c r="I775" s="304">
        <f t="shared" ca="1" si="361"/>
        <v>105.16580023542676</v>
      </c>
      <c r="J775" s="306">
        <f t="shared" ca="1" si="362"/>
        <v>745.87074281998321</v>
      </c>
      <c r="K775" s="307">
        <f t="shared" ca="1" si="363"/>
        <v>-11.345013514846563</v>
      </c>
      <c r="L775" s="304">
        <f t="shared" ca="1" si="348"/>
        <v>745.95701908788658</v>
      </c>
      <c r="M775" s="306">
        <f t="shared" ca="1" si="364"/>
        <v>-1.5119328053511871</v>
      </c>
      <c r="N775" s="304">
        <f t="shared" ca="1" si="365"/>
        <v>-86.627368653997635</v>
      </c>
      <c r="P775" s="310">
        <f t="shared" ca="1" si="366"/>
        <v>23</v>
      </c>
      <c r="Q775" s="304">
        <f t="shared" ca="1" si="367"/>
        <v>0</v>
      </c>
      <c r="R775" s="306">
        <f t="shared" ca="1" si="368"/>
        <v>0</v>
      </c>
      <c r="S775" s="307">
        <f t="shared" ca="1" si="369"/>
        <v>2.9792999999999985</v>
      </c>
      <c r="T775" s="304">
        <f t="shared" ca="1" si="349"/>
        <v>29.226932999999988</v>
      </c>
      <c r="U775" s="311">
        <f t="shared" ca="1" si="350"/>
        <v>0</v>
      </c>
      <c r="V775" s="306">
        <f t="shared" ca="1" si="351"/>
        <v>1.2263905529476677</v>
      </c>
      <c r="W775" s="304">
        <f t="shared" ca="1" si="352"/>
        <v>27.774786389169254</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0.47043932700318258</v>
      </c>
      <c r="AH775" s="304">
        <f t="shared" ca="1" si="376"/>
        <v>-9.3225698590835275</v>
      </c>
    </row>
    <row r="776" spans="1:34" x14ac:dyDescent="0.2">
      <c r="A776" s="347">
        <f t="shared" ca="1" si="354"/>
        <v>1E-4</v>
      </c>
      <c r="B776" s="304">
        <f t="shared" ca="1" si="355"/>
        <v>36.82560000000106</v>
      </c>
      <c r="D776" s="306">
        <f t="shared" ca="1" si="356"/>
        <v>-0.54844351151557713</v>
      </c>
      <c r="E776" s="307">
        <f t="shared" ca="1" si="357"/>
        <v>-0.50355833377197179</v>
      </c>
      <c r="F776" s="304">
        <f t="shared" ca="1" si="358"/>
        <v>0.74455441764503794</v>
      </c>
      <c r="G776" s="306">
        <f t="shared" ca="1" si="359"/>
        <v>6.186800227859508</v>
      </c>
      <c r="H776" s="307">
        <f t="shared" ca="1" si="360"/>
        <v>-104.9837079577342</v>
      </c>
      <c r="I776" s="304">
        <f t="shared" ca="1" si="361"/>
        <v>105.16584727759418</v>
      </c>
      <c r="J776" s="306">
        <f t="shared" ca="1" si="362"/>
        <v>745.87074281998321</v>
      </c>
      <c r="K776" s="307">
        <f t="shared" ca="1" si="363"/>
        <v>-11.355511883124546</v>
      </c>
      <c r="L776" s="304">
        <f t="shared" ca="1" si="348"/>
        <v>745.95717882795475</v>
      </c>
      <c r="M776" s="306">
        <f t="shared" ca="1" si="364"/>
        <v>-1.5119333541203439</v>
      </c>
      <c r="N776" s="304">
        <f t="shared" ca="1" si="365"/>
        <v>-86.627400096154247</v>
      </c>
      <c r="P776" s="310">
        <f t="shared" ca="1" si="366"/>
        <v>23</v>
      </c>
      <c r="Q776" s="304">
        <f t="shared" ca="1" si="367"/>
        <v>0</v>
      </c>
      <c r="R776" s="306">
        <f t="shared" ca="1" si="368"/>
        <v>0</v>
      </c>
      <c r="S776" s="307">
        <f t="shared" ca="1" si="369"/>
        <v>2.9792999999999985</v>
      </c>
      <c r="T776" s="304">
        <f t="shared" ca="1" si="349"/>
        <v>29.226932999999988</v>
      </c>
      <c r="U776" s="311">
        <f t="shared" ca="1" si="350"/>
        <v>0</v>
      </c>
      <c r="V776" s="306">
        <f t="shared" ca="1" si="351"/>
        <v>1.2263918404587262</v>
      </c>
      <c r="W776" s="304">
        <f t="shared" ca="1" si="352"/>
        <v>27.774840396338085</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0.47042151596345505</v>
      </c>
      <c r="AH776" s="304">
        <f t="shared" ca="1" si="376"/>
        <v>-9.3225879868322323</v>
      </c>
    </row>
    <row r="777" spans="1:34" x14ac:dyDescent="0.2">
      <c r="A777" s="347">
        <f t="shared" ca="1" si="354"/>
        <v>1E-4</v>
      </c>
      <c r="B777" s="304">
        <f t="shared" ca="1" si="355"/>
        <v>36.825700000001063</v>
      </c>
      <c r="D777" s="306">
        <f t="shared" ca="1" si="356"/>
        <v>-0.54843947084798961</v>
      </c>
      <c r="E777" s="307">
        <f t="shared" ca="1" si="357"/>
        <v>-0.50353993673075337</v>
      </c>
      <c r="F777" s="304">
        <f t="shared" ca="1" si="358"/>
        <v>0.74453899902344534</v>
      </c>
      <c r="G777" s="306">
        <f t="shared" ca="1" si="359"/>
        <v>6.1867453839124229</v>
      </c>
      <c r="H777" s="307">
        <f t="shared" ca="1" si="360"/>
        <v>-104.98375831172787</v>
      </c>
      <c r="I777" s="304">
        <f t="shared" ca="1" si="361"/>
        <v>105.16589431798054</v>
      </c>
      <c r="J777" s="306">
        <f t="shared" ca="1" si="362"/>
        <v>745.87074281998321</v>
      </c>
      <c r="K777" s="307">
        <f t="shared" ca="1" si="363"/>
        <v>-11.366010256438019</v>
      </c>
      <c r="L777" s="304">
        <f t="shared" ca="1" si="348"/>
        <v>745.95733871581626</v>
      </c>
      <c r="M777" s="306">
        <f t="shared" ca="1" si="364"/>
        <v>-1.5119339028841452</v>
      </c>
      <c r="N777" s="304">
        <f t="shared" ca="1" si="365"/>
        <v>-86.627431538004004</v>
      </c>
      <c r="P777" s="310">
        <f t="shared" ca="1" si="366"/>
        <v>23</v>
      </c>
      <c r="Q777" s="304">
        <f t="shared" ca="1" si="367"/>
        <v>0</v>
      </c>
      <c r="R777" s="306">
        <f t="shared" ca="1" si="368"/>
        <v>0</v>
      </c>
      <c r="S777" s="307">
        <f t="shared" ca="1" si="369"/>
        <v>2.9792999999999985</v>
      </c>
      <c r="T777" s="304">
        <f t="shared" ca="1" si="349"/>
        <v>29.226932999999988</v>
      </c>
      <c r="U777" s="311">
        <f t="shared" ca="1" si="350"/>
        <v>0</v>
      </c>
      <c r="V777" s="306">
        <f t="shared" ca="1" si="351"/>
        <v>1.2263931279717546</v>
      </c>
      <c r="W777" s="304">
        <f t="shared" ca="1" si="352"/>
        <v>27.77489440267404</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0.47040370519724561</v>
      </c>
      <c r="AH777" s="304">
        <f t="shared" ca="1" si="376"/>
        <v>-9.3226061143013794</v>
      </c>
    </row>
    <row r="778" spans="1:34" x14ac:dyDescent="0.2">
      <c r="A778" s="347">
        <f t="shared" ca="1" si="354"/>
        <v>1E-4</v>
      </c>
      <c r="B778" s="304">
        <f t="shared" ca="1" si="355"/>
        <v>36.825800000001067</v>
      </c>
      <c r="D778" s="306">
        <f t="shared" ca="1" si="356"/>
        <v>-0.54843543019377083</v>
      </c>
      <c r="E778" s="307">
        <f t="shared" ca="1" si="357"/>
        <v>-0.50352153997317295</v>
      </c>
      <c r="F778" s="304">
        <f t="shared" ca="1" si="358"/>
        <v>0.74452358076073188</v>
      </c>
      <c r="G778" s="306">
        <f t="shared" ca="1" si="359"/>
        <v>6.1866905403694039</v>
      </c>
      <c r="H778" s="307">
        <f t="shared" ca="1" si="360"/>
        <v>-104.98380866388186</v>
      </c>
      <c r="I778" s="304">
        <f t="shared" ca="1" si="361"/>
        <v>105.16594135658585</v>
      </c>
      <c r="J778" s="306">
        <f t="shared" ca="1" si="362"/>
        <v>745.87074281998321</v>
      </c>
      <c r="K778" s="307">
        <f t="shared" ca="1" si="363"/>
        <v>-11.376508634786799</v>
      </c>
      <c r="L778" s="304">
        <f t="shared" ca="1" si="348"/>
        <v>745.95749875147101</v>
      </c>
      <c r="M778" s="306">
        <f t="shared" ca="1" si="364"/>
        <v>-1.5119344516425908</v>
      </c>
      <c r="N778" s="304">
        <f t="shared" ca="1" si="365"/>
        <v>-86.627462979546905</v>
      </c>
      <c r="P778" s="310">
        <f t="shared" ca="1" si="366"/>
        <v>23</v>
      </c>
      <c r="Q778" s="304">
        <f t="shared" ca="1" si="367"/>
        <v>0</v>
      </c>
      <c r="R778" s="306">
        <f t="shared" ca="1" si="368"/>
        <v>0</v>
      </c>
      <c r="S778" s="307">
        <f t="shared" ca="1" si="369"/>
        <v>2.9792999999999985</v>
      </c>
      <c r="T778" s="304">
        <f t="shared" ca="1" si="349"/>
        <v>29.226932999999988</v>
      </c>
      <c r="U778" s="311">
        <f t="shared" ca="1" si="350"/>
        <v>0</v>
      </c>
      <c r="V778" s="306">
        <f t="shared" ca="1" si="351"/>
        <v>1.226394415486753</v>
      </c>
      <c r="W778" s="304">
        <f t="shared" ca="1" si="352"/>
        <v>27.774948408177114</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0.47038589470454895</v>
      </c>
      <c r="AH778" s="304">
        <f t="shared" ca="1" si="376"/>
        <v>-9.3226242414909724</v>
      </c>
    </row>
    <row r="779" spans="1:34" x14ac:dyDescent="0.2">
      <c r="A779" s="347">
        <f t="shared" ca="1" si="354"/>
        <v>1E-4</v>
      </c>
      <c r="B779" s="304">
        <f t="shared" ca="1" si="355"/>
        <v>36.82590000000107</v>
      </c>
      <c r="D779" s="306">
        <f t="shared" ca="1" si="356"/>
        <v>-0.54843138955292348</v>
      </c>
      <c r="E779" s="307">
        <f t="shared" ca="1" si="357"/>
        <v>-0.50350314349923586</v>
      </c>
      <c r="F779" s="304">
        <f t="shared" ca="1" si="358"/>
        <v>0.74450816285690424</v>
      </c>
      <c r="G779" s="306">
        <f t="shared" ca="1" si="359"/>
        <v>6.1866356972304484</v>
      </c>
      <c r="H779" s="307">
        <f t="shared" ca="1" si="360"/>
        <v>-104.98385901419621</v>
      </c>
      <c r="I779" s="304">
        <f t="shared" ca="1" si="361"/>
        <v>105.16598839341013</v>
      </c>
      <c r="J779" s="306">
        <f t="shared" ca="1" si="362"/>
        <v>745.87074281998321</v>
      </c>
      <c r="K779" s="307">
        <f t="shared" ca="1" si="363"/>
        <v>-11.387007018170703</v>
      </c>
      <c r="L779" s="304">
        <f t="shared" ca="1" si="348"/>
        <v>745.95765893491921</v>
      </c>
      <c r="M779" s="306">
        <f t="shared" ca="1" si="364"/>
        <v>-1.5119350003956811</v>
      </c>
      <c r="N779" s="304">
        <f t="shared" ca="1" si="365"/>
        <v>-86.62749442078298</v>
      </c>
      <c r="P779" s="310">
        <f t="shared" ca="1" si="366"/>
        <v>23</v>
      </c>
      <c r="Q779" s="304">
        <f t="shared" ca="1" si="367"/>
        <v>0</v>
      </c>
      <c r="R779" s="306">
        <f t="shared" ca="1" si="368"/>
        <v>0</v>
      </c>
      <c r="S779" s="307">
        <f t="shared" ca="1" si="369"/>
        <v>2.9792999999999985</v>
      </c>
      <c r="T779" s="304">
        <f t="shared" ca="1" si="349"/>
        <v>29.226932999999988</v>
      </c>
      <c r="U779" s="311">
        <f t="shared" ca="1" si="350"/>
        <v>0</v>
      </c>
      <c r="V779" s="306">
        <f t="shared" ca="1" si="351"/>
        <v>1.2263957030037207</v>
      </c>
      <c r="W779" s="304">
        <f t="shared" ca="1" si="352"/>
        <v>27.775002412847321</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0.47036808448537037</v>
      </c>
      <c r="AH779" s="304">
        <f t="shared" ca="1" si="376"/>
        <v>-9.3226423684010093</v>
      </c>
    </row>
    <row r="780" spans="1:34" x14ac:dyDescent="0.2">
      <c r="A780" s="347">
        <f t="shared" ca="1" si="354"/>
        <v>1E-4</v>
      </c>
      <c r="B780" s="304">
        <f t="shared" ca="1" si="355"/>
        <v>36.826000000001073</v>
      </c>
      <c r="D780" s="306">
        <f t="shared" ca="1" si="356"/>
        <v>-0.54842734892544465</v>
      </c>
      <c r="E780" s="307">
        <f t="shared" ca="1" si="357"/>
        <v>-0.50348474730893145</v>
      </c>
      <c r="F780" s="304">
        <f t="shared" ca="1" si="358"/>
        <v>0.74449274531195397</v>
      </c>
      <c r="G780" s="306">
        <f t="shared" ca="1" si="359"/>
        <v>6.1865808544955554</v>
      </c>
      <c r="H780" s="307">
        <f t="shared" ca="1" si="360"/>
        <v>-104.98390936267094</v>
      </c>
      <c r="I780" s="304">
        <f t="shared" ca="1" si="361"/>
        <v>105.16603542845343</v>
      </c>
      <c r="J780" s="306">
        <f t="shared" ca="1" si="362"/>
        <v>745.87074281998321</v>
      </c>
      <c r="K780" s="307">
        <f t="shared" ca="1" si="363"/>
        <v>-11.397505406589547</v>
      </c>
      <c r="L780" s="304">
        <f t="shared" ca="1" si="348"/>
        <v>745.95781926616121</v>
      </c>
      <c r="M780" s="306">
        <f t="shared" ca="1" si="364"/>
        <v>-1.5119355491434161</v>
      </c>
      <c r="N780" s="304">
        <f t="shared" ca="1" si="365"/>
        <v>-86.627525861712215</v>
      </c>
      <c r="P780" s="310">
        <f t="shared" ca="1" si="366"/>
        <v>23</v>
      </c>
      <c r="Q780" s="304">
        <f t="shared" ca="1" si="367"/>
        <v>0</v>
      </c>
      <c r="R780" s="306">
        <f t="shared" ca="1" si="368"/>
        <v>0</v>
      </c>
      <c r="S780" s="307">
        <f t="shared" ca="1" si="369"/>
        <v>2.9792999999999985</v>
      </c>
      <c r="T780" s="304">
        <f t="shared" ca="1" si="349"/>
        <v>29.226932999999988</v>
      </c>
      <c r="U780" s="311">
        <f t="shared" ca="1" si="350"/>
        <v>0</v>
      </c>
      <c r="V780" s="306">
        <f t="shared" ca="1" si="351"/>
        <v>1.2263969905226588</v>
      </c>
      <c r="W780" s="304">
        <f t="shared" ca="1" si="352"/>
        <v>27.775056416684691</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0.4703502745397028</v>
      </c>
      <c r="AH780" s="304">
        <f t="shared" ca="1" si="376"/>
        <v>-9.3226604950314957</v>
      </c>
    </row>
    <row r="781" spans="1:34" x14ac:dyDescent="0.2">
      <c r="A781" s="347">
        <f t="shared" ca="1" si="354"/>
        <v>1E-4</v>
      </c>
      <c r="B781" s="304">
        <f t="shared" ca="1" si="355"/>
        <v>36.826100000001077</v>
      </c>
      <c r="D781" s="306">
        <f t="shared" ca="1" si="356"/>
        <v>-0.54842330831133534</v>
      </c>
      <c r="E781" s="307">
        <f t="shared" ca="1" si="357"/>
        <v>-0.50346635140225615</v>
      </c>
      <c r="F781" s="304">
        <f t="shared" ca="1" si="358"/>
        <v>0.74447732812588052</v>
      </c>
      <c r="G781" s="306">
        <f t="shared" ca="1" si="359"/>
        <v>6.1865260121647241</v>
      </c>
      <c r="H781" s="307">
        <f t="shared" ca="1" si="360"/>
        <v>-104.98395970930608</v>
      </c>
      <c r="I781" s="304">
        <f t="shared" ca="1" si="361"/>
        <v>105.16608246171573</v>
      </c>
      <c r="J781" s="306">
        <f t="shared" ca="1" si="362"/>
        <v>745.87074281998321</v>
      </c>
      <c r="K781" s="307">
        <f t="shared" ca="1" si="363"/>
        <v>-11.408003800043145</v>
      </c>
      <c r="L781" s="304">
        <f t="shared" ca="1" si="348"/>
        <v>745.95797974519667</v>
      </c>
      <c r="M781" s="306">
        <f t="shared" ca="1" si="364"/>
        <v>-1.5119360978857956</v>
      </c>
      <c r="N781" s="304">
        <f t="shared" ca="1" si="365"/>
        <v>-86.627557302334594</v>
      </c>
      <c r="P781" s="310">
        <f t="shared" ca="1" si="366"/>
        <v>23</v>
      </c>
      <c r="Q781" s="304">
        <f t="shared" ca="1" si="367"/>
        <v>0</v>
      </c>
      <c r="R781" s="306">
        <f t="shared" ca="1" si="368"/>
        <v>0</v>
      </c>
      <c r="S781" s="307">
        <f t="shared" ca="1" si="369"/>
        <v>2.9792999999999985</v>
      </c>
      <c r="T781" s="304">
        <f t="shared" ca="1" si="349"/>
        <v>29.226932999999988</v>
      </c>
      <c r="U781" s="311">
        <f t="shared" ca="1" si="350"/>
        <v>0</v>
      </c>
      <c r="V781" s="306">
        <f t="shared" ca="1" si="351"/>
        <v>1.2263982780435672</v>
      </c>
      <c r="W781" s="304">
        <f t="shared" ca="1" si="352"/>
        <v>27.775110419689213</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0.47033246486753733</v>
      </c>
      <c r="AH781" s="304">
        <f t="shared" ca="1" si="376"/>
        <v>-9.3226786213824404</v>
      </c>
    </row>
    <row r="782" spans="1:34" x14ac:dyDescent="0.2">
      <c r="A782" s="347">
        <f t="shared" ca="1" si="354"/>
        <v>1E-4</v>
      </c>
      <c r="B782" s="304">
        <f t="shared" ca="1" si="355"/>
        <v>36.82620000000108</v>
      </c>
      <c r="D782" s="306">
        <f t="shared" ca="1" si="356"/>
        <v>-0.54841926771059846</v>
      </c>
      <c r="E782" s="307">
        <f t="shared" ca="1" si="357"/>
        <v>-0.50344795577920998</v>
      </c>
      <c r="F782" s="304">
        <f t="shared" ca="1" si="358"/>
        <v>0.74446191129868722</v>
      </c>
      <c r="G782" s="306">
        <f t="shared" ca="1" si="359"/>
        <v>6.1864711702379527</v>
      </c>
      <c r="H782" s="307">
        <f t="shared" ca="1" si="360"/>
        <v>-104.98401005410166</v>
      </c>
      <c r="I782" s="304">
        <f t="shared" ca="1" si="361"/>
        <v>105.1661294931971</v>
      </c>
      <c r="J782" s="306">
        <f t="shared" ca="1" si="362"/>
        <v>745.87074281998321</v>
      </c>
      <c r="K782" s="307">
        <f t="shared" ca="1" si="363"/>
        <v>-11.418502198531316</v>
      </c>
      <c r="L782" s="304">
        <f t="shared" ca="1" si="348"/>
        <v>745.95814037202615</v>
      </c>
      <c r="M782" s="306">
        <f t="shared" ca="1" si="364"/>
        <v>-1.5119366466228199</v>
      </c>
      <c r="N782" s="304">
        <f t="shared" ca="1" si="365"/>
        <v>-86.627588742650147</v>
      </c>
      <c r="P782" s="310">
        <f t="shared" ca="1" si="366"/>
        <v>23</v>
      </c>
      <c r="Q782" s="304">
        <f t="shared" ca="1" si="367"/>
        <v>0</v>
      </c>
      <c r="R782" s="306">
        <f t="shared" ca="1" si="368"/>
        <v>0</v>
      </c>
      <c r="S782" s="307">
        <f t="shared" ca="1" si="369"/>
        <v>2.9792999999999985</v>
      </c>
      <c r="T782" s="304">
        <f t="shared" ca="1" si="349"/>
        <v>29.226932999999988</v>
      </c>
      <c r="U782" s="311">
        <f t="shared" ca="1" si="350"/>
        <v>0</v>
      </c>
      <c r="V782" s="306">
        <f t="shared" ca="1" si="351"/>
        <v>1.226399565566445</v>
      </c>
      <c r="W782" s="304">
        <f t="shared" ca="1" si="352"/>
        <v>27.775164421860904</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0.47031465546887574</v>
      </c>
      <c r="AH782" s="304">
        <f t="shared" ca="1" si="376"/>
        <v>-9.3226967474538398</v>
      </c>
    </row>
    <row r="783" spans="1:34" x14ac:dyDescent="0.2">
      <c r="A783" s="347">
        <f t="shared" ca="1" si="354"/>
        <v>1E-4</v>
      </c>
      <c r="B783" s="304">
        <f t="shared" ca="1" si="355"/>
        <v>36.826300000001083</v>
      </c>
      <c r="D783" s="306">
        <f t="shared" ca="1" si="356"/>
        <v>-0.54841522712323298</v>
      </c>
      <c r="E783" s="307">
        <f t="shared" ca="1" si="357"/>
        <v>-0.50342956043978759</v>
      </c>
      <c r="F783" s="304">
        <f t="shared" ca="1" si="358"/>
        <v>0.74444649483037062</v>
      </c>
      <c r="G783" s="306">
        <f t="shared" ca="1" si="359"/>
        <v>6.1864163287152403</v>
      </c>
      <c r="H783" s="307">
        <f t="shared" ca="1" si="360"/>
        <v>-104.9840603970577</v>
      </c>
      <c r="I783" s="304">
        <f t="shared" ca="1" si="361"/>
        <v>105.16617652289759</v>
      </c>
      <c r="J783" s="306">
        <f t="shared" ca="1" si="362"/>
        <v>745.87074281998321</v>
      </c>
      <c r="K783" s="307">
        <f t="shared" ca="1" si="363"/>
        <v>-11.429000602053874</v>
      </c>
      <c r="L783" s="304">
        <f t="shared" ca="1" si="348"/>
        <v>745.95830114664943</v>
      </c>
      <c r="M783" s="306">
        <f t="shared" ca="1" si="364"/>
        <v>-1.5119371953544889</v>
      </c>
      <c r="N783" s="304">
        <f t="shared" ca="1" si="365"/>
        <v>-86.627620182658873</v>
      </c>
      <c r="P783" s="310">
        <f t="shared" ca="1" si="366"/>
        <v>23</v>
      </c>
      <c r="Q783" s="304">
        <f t="shared" ca="1" si="367"/>
        <v>0</v>
      </c>
      <c r="R783" s="306">
        <f t="shared" ca="1" si="368"/>
        <v>0</v>
      </c>
      <c r="S783" s="307">
        <f t="shared" ca="1" si="369"/>
        <v>2.9792999999999985</v>
      </c>
      <c r="T783" s="304">
        <f t="shared" ca="1" si="349"/>
        <v>29.226932999999988</v>
      </c>
      <c r="U783" s="311">
        <f t="shared" ca="1" si="350"/>
        <v>0</v>
      </c>
      <c r="V783" s="306">
        <f t="shared" ca="1" si="351"/>
        <v>1.2264008530912927</v>
      </c>
      <c r="W783" s="304">
        <f t="shared" ca="1" si="352"/>
        <v>27.775218423199775</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0.47029684634371449</v>
      </c>
      <c r="AH783" s="304">
        <f t="shared" ca="1" si="376"/>
        <v>-9.322714873245701</v>
      </c>
    </row>
    <row r="784" spans="1:34" x14ac:dyDescent="0.2">
      <c r="A784" s="347">
        <f t="shared" ca="1" si="354"/>
        <v>1E-4</v>
      </c>
      <c r="B784" s="304">
        <f t="shared" ca="1" si="355"/>
        <v>36.826400000001087</v>
      </c>
      <c r="D784" s="306">
        <f t="shared" ca="1" si="356"/>
        <v>-0.5484111865492397</v>
      </c>
      <c r="E784" s="307">
        <f t="shared" ca="1" si="357"/>
        <v>-0.50341116538398545</v>
      </c>
      <c r="F784" s="304">
        <f t="shared" ca="1" si="358"/>
        <v>0.74443107872092995</v>
      </c>
      <c r="G784" s="306">
        <f t="shared" ca="1" si="359"/>
        <v>6.1863614875965851</v>
      </c>
      <c r="H784" s="307">
        <f t="shared" ca="1" si="360"/>
        <v>-104.98411073817424</v>
      </c>
      <c r="I784" s="304">
        <f t="shared" ca="1" si="361"/>
        <v>105.16622355081716</v>
      </c>
      <c r="J784" s="306">
        <f t="shared" ca="1" si="362"/>
        <v>745.87074281998321</v>
      </c>
      <c r="K784" s="307">
        <f t="shared" ca="1" si="363"/>
        <v>-11.439499010610636</v>
      </c>
      <c r="L784" s="304">
        <f t="shared" ca="1" si="348"/>
        <v>745.95846206906674</v>
      </c>
      <c r="M784" s="306">
        <f t="shared" ca="1" si="364"/>
        <v>-1.5119377440808028</v>
      </c>
      <c r="N784" s="304">
        <f t="shared" ca="1" si="365"/>
        <v>-86.627651622360773</v>
      </c>
      <c r="P784" s="310">
        <f t="shared" ca="1" si="366"/>
        <v>23</v>
      </c>
      <c r="Q784" s="304">
        <f t="shared" ca="1" si="367"/>
        <v>0</v>
      </c>
      <c r="R784" s="306">
        <f t="shared" ca="1" si="368"/>
        <v>0</v>
      </c>
      <c r="S784" s="307">
        <f t="shared" ca="1" si="369"/>
        <v>2.9792999999999985</v>
      </c>
      <c r="T784" s="304">
        <f t="shared" ca="1" si="349"/>
        <v>29.226932999999988</v>
      </c>
      <c r="U784" s="311">
        <f t="shared" ca="1" si="350"/>
        <v>0</v>
      </c>
      <c r="V784" s="306">
        <f t="shared" ca="1" si="351"/>
        <v>1.2264021406181109</v>
      </c>
      <c r="W784" s="304">
        <f t="shared" ca="1" si="352"/>
        <v>27.77527242370585</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0.47027903749205002</v>
      </c>
      <c r="AH784" s="304">
        <f t="shared" ca="1" si="376"/>
        <v>-9.3227329987580259</v>
      </c>
    </row>
    <row r="785" spans="1:34" x14ac:dyDescent="0.2">
      <c r="A785" s="347">
        <f t="shared" ca="1" si="354"/>
        <v>1E-4</v>
      </c>
      <c r="B785" s="304">
        <f t="shared" ca="1" si="355"/>
        <v>36.82650000000109</v>
      </c>
      <c r="D785" s="306">
        <f t="shared" ca="1" si="356"/>
        <v>-0.54840714598861806</v>
      </c>
      <c r="E785" s="307">
        <f t="shared" ca="1" si="357"/>
        <v>-0.50339277061179466</v>
      </c>
      <c r="F785" s="304">
        <f t="shared" ca="1" si="358"/>
        <v>0.74441566297035988</v>
      </c>
      <c r="G785" s="306">
        <f t="shared" ca="1" si="359"/>
        <v>6.1863066468819863</v>
      </c>
      <c r="H785" s="307">
        <f t="shared" ca="1" si="360"/>
        <v>-104.9841610774513</v>
      </c>
      <c r="I785" s="304">
        <f t="shared" ca="1" si="361"/>
        <v>105.16627057695588</v>
      </c>
      <c r="J785" s="306">
        <f t="shared" ca="1" si="362"/>
        <v>745.87074281998321</v>
      </c>
      <c r="K785" s="307">
        <f t="shared" ca="1" si="363"/>
        <v>-11.449997424201417</v>
      </c>
      <c r="L785" s="304">
        <f t="shared" ca="1" si="348"/>
        <v>745.9586231392783</v>
      </c>
      <c r="M785" s="306">
        <f t="shared" ca="1" si="364"/>
        <v>-1.5119382928017617</v>
      </c>
      <c r="N785" s="304">
        <f t="shared" ca="1" si="365"/>
        <v>-86.627683061755846</v>
      </c>
      <c r="P785" s="310">
        <f t="shared" ca="1" si="366"/>
        <v>23</v>
      </c>
      <c r="Q785" s="304">
        <f t="shared" ca="1" si="367"/>
        <v>0</v>
      </c>
      <c r="R785" s="306">
        <f t="shared" ca="1" si="368"/>
        <v>0</v>
      </c>
      <c r="S785" s="307">
        <f t="shared" ca="1" si="369"/>
        <v>2.9792999999999985</v>
      </c>
      <c r="T785" s="304">
        <f t="shared" ca="1" si="349"/>
        <v>29.226932999999988</v>
      </c>
      <c r="U785" s="311">
        <f t="shared" ca="1" si="350"/>
        <v>0</v>
      </c>
      <c r="V785" s="306">
        <f t="shared" ca="1" si="351"/>
        <v>1.2264034281468983</v>
      </c>
      <c r="W785" s="304">
        <f t="shared" ca="1" si="352"/>
        <v>27.775326423379099</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0.47026122891387345</v>
      </c>
      <c r="AH785" s="304">
        <f t="shared" ca="1" si="376"/>
        <v>-9.322751123990825</v>
      </c>
    </row>
    <row r="786" spans="1:34" x14ac:dyDescent="0.2">
      <c r="A786" s="347">
        <f t="shared" ca="1" si="354"/>
        <v>1E-4</v>
      </c>
      <c r="B786" s="304">
        <f t="shared" ca="1" si="355"/>
        <v>36.826600000001093</v>
      </c>
      <c r="D786" s="306">
        <f t="shared" ca="1" si="356"/>
        <v>-0.54840310544136806</v>
      </c>
      <c r="E786" s="307">
        <f t="shared" ca="1" si="357"/>
        <v>-0.50337437612322766</v>
      </c>
      <c r="F786" s="304">
        <f t="shared" ca="1" si="358"/>
        <v>0.74440024757866985</v>
      </c>
      <c r="G786" s="306">
        <f t="shared" ca="1" si="359"/>
        <v>6.186251806571442</v>
      </c>
      <c r="H786" s="307">
        <f t="shared" ca="1" si="360"/>
        <v>-104.98421141488892</v>
      </c>
      <c r="I786" s="304">
        <f t="shared" ca="1" si="361"/>
        <v>105.16631760131378</v>
      </c>
      <c r="J786" s="306">
        <f t="shared" ca="1" si="362"/>
        <v>745.87074281998321</v>
      </c>
      <c r="K786" s="307">
        <f t="shared" ca="1" si="363"/>
        <v>-11.460495842826035</v>
      </c>
      <c r="L786" s="304">
        <f t="shared" ca="1" si="348"/>
        <v>745.958784357284</v>
      </c>
      <c r="M786" s="306">
        <f t="shared" ca="1" si="364"/>
        <v>-1.5119388415173656</v>
      </c>
      <c r="N786" s="304">
        <f t="shared" ca="1" si="365"/>
        <v>-86.627714500844093</v>
      </c>
      <c r="P786" s="310">
        <f t="shared" ca="1" si="366"/>
        <v>23</v>
      </c>
      <c r="Q786" s="304">
        <f t="shared" ca="1" si="367"/>
        <v>0</v>
      </c>
      <c r="R786" s="306">
        <f t="shared" ca="1" si="368"/>
        <v>0</v>
      </c>
      <c r="S786" s="307">
        <f t="shared" ca="1" si="369"/>
        <v>2.9792999999999985</v>
      </c>
      <c r="T786" s="304">
        <f t="shared" ca="1" si="349"/>
        <v>29.226932999999988</v>
      </c>
      <c r="U786" s="311">
        <f t="shared" ca="1" si="350"/>
        <v>0</v>
      </c>
      <c r="V786" s="306">
        <f t="shared" ca="1" si="351"/>
        <v>1.2264047156776552</v>
      </c>
      <c r="W786" s="304">
        <f t="shared" ca="1" si="352"/>
        <v>27.775380422219563</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0.47024342060919544</v>
      </c>
      <c r="AH786" s="304">
        <f t="shared" ca="1" si="376"/>
        <v>-9.3227692489440859</v>
      </c>
    </row>
    <row r="787" spans="1:34" x14ac:dyDescent="0.2">
      <c r="A787" s="347">
        <f t="shared" ca="1" si="354"/>
        <v>1E-4</v>
      </c>
      <c r="B787" s="304">
        <f t="shared" ca="1" si="355"/>
        <v>36.826700000001097</v>
      </c>
      <c r="D787" s="306">
        <f t="shared" ca="1" si="356"/>
        <v>-0.54839906490749113</v>
      </c>
      <c r="E787" s="307">
        <f t="shared" ca="1" si="357"/>
        <v>-0.50335598191827025</v>
      </c>
      <c r="F787" s="304">
        <f t="shared" ca="1" si="358"/>
        <v>0.7443848325458523</v>
      </c>
      <c r="G787" s="306">
        <f t="shared" ca="1" si="359"/>
        <v>6.1861969666649514</v>
      </c>
      <c r="H787" s="307">
        <f t="shared" ca="1" si="360"/>
        <v>-104.98426175048711</v>
      </c>
      <c r="I787" s="304">
        <f t="shared" ca="1" si="361"/>
        <v>105.16636462389087</v>
      </c>
      <c r="J787" s="306">
        <f t="shared" ca="1" si="362"/>
        <v>745.87074281998321</v>
      </c>
      <c r="K787" s="307">
        <f t="shared" ca="1" si="363"/>
        <v>-11.470994266484304</v>
      </c>
      <c r="L787" s="304">
        <f t="shared" ca="1" si="348"/>
        <v>745.95894572308418</v>
      </c>
      <c r="M787" s="306">
        <f t="shared" ca="1" si="364"/>
        <v>-1.5119393902276146</v>
      </c>
      <c r="N787" s="304">
        <f t="shared" ca="1" si="365"/>
        <v>-86.627745939625541</v>
      </c>
      <c r="P787" s="310">
        <f t="shared" ca="1" si="366"/>
        <v>23</v>
      </c>
      <c r="Q787" s="304">
        <f t="shared" ca="1" si="367"/>
        <v>0</v>
      </c>
      <c r="R787" s="306">
        <f t="shared" ca="1" si="368"/>
        <v>0</v>
      </c>
      <c r="S787" s="307">
        <f t="shared" ca="1" si="369"/>
        <v>2.9792999999999985</v>
      </c>
      <c r="T787" s="304">
        <f t="shared" ca="1" si="349"/>
        <v>29.226932999999988</v>
      </c>
      <c r="U787" s="311">
        <f t="shared" ca="1" si="350"/>
        <v>0</v>
      </c>
      <c r="V787" s="306">
        <f t="shared" ca="1" si="351"/>
        <v>1.2264060032103827</v>
      </c>
      <c r="W787" s="304">
        <f t="shared" ca="1" si="352"/>
        <v>27.775434420227253</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0.47022561257800355</v>
      </c>
      <c r="AH787" s="304">
        <f t="shared" ca="1" si="376"/>
        <v>-9.3227873736178211</v>
      </c>
    </row>
    <row r="788" spans="1:34" x14ac:dyDescent="0.2">
      <c r="A788" s="347">
        <f t="shared" ca="1" si="354"/>
        <v>1E-4</v>
      </c>
      <c r="B788" s="304">
        <f t="shared" ca="1" si="355"/>
        <v>36.8268000000011</v>
      </c>
      <c r="D788" s="306">
        <f t="shared" ca="1" si="356"/>
        <v>-0.5483950243869864</v>
      </c>
      <c r="E788" s="307">
        <f t="shared" ca="1" si="357"/>
        <v>-0.50333758799691353</v>
      </c>
      <c r="F788" s="304">
        <f t="shared" ca="1" si="358"/>
        <v>0.74436941787190192</v>
      </c>
      <c r="G788" s="306">
        <f t="shared" ca="1" si="359"/>
        <v>6.1861421271625128</v>
      </c>
      <c r="H788" s="307">
        <f t="shared" ca="1" si="360"/>
        <v>-104.9843120842459</v>
      </c>
      <c r="I788" s="304">
        <f t="shared" ca="1" si="361"/>
        <v>105.16641164468717</v>
      </c>
      <c r="J788" s="306">
        <f t="shared" ca="1" si="362"/>
        <v>745.87074281998321</v>
      </c>
      <c r="K788" s="307">
        <f t="shared" ca="1" si="363"/>
        <v>-11.481492695176041</v>
      </c>
      <c r="L788" s="304">
        <f t="shared" ca="1" si="348"/>
        <v>745.95910723667885</v>
      </c>
      <c r="M788" s="306">
        <f t="shared" ca="1" si="364"/>
        <v>-1.5119399389325086</v>
      </c>
      <c r="N788" s="304">
        <f t="shared" ca="1" si="365"/>
        <v>-86.627777378100163</v>
      </c>
      <c r="P788" s="310">
        <f t="shared" ca="1" si="366"/>
        <v>23</v>
      </c>
      <c r="Q788" s="304">
        <f t="shared" ca="1" si="367"/>
        <v>0</v>
      </c>
      <c r="R788" s="306">
        <f t="shared" ca="1" si="368"/>
        <v>0</v>
      </c>
      <c r="S788" s="307">
        <f t="shared" ca="1" si="369"/>
        <v>2.9792999999999985</v>
      </c>
      <c r="T788" s="304">
        <f t="shared" ca="1" si="349"/>
        <v>29.226932999999988</v>
      </c>
      <c r="U788" s="311">
        <f t="shared" ca="1" si="350"/>
        <v>0</v>
      </c>
      <c r="V788" s="306">
        <f t="shared" ca="1" si="351"/>
        <v>1.2264072907450796</v>
      </c>
      <c r="W788" s="304">
        <f t="shared" ca="1" si="352"/>
        <v>27.775488417402162</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0.47020780482029068</v>
      </c>
      <c r="AH788" s="304">
        <f t="shared" ca="1" si="376"/>
        <v>-9.3228054980120394</v>
      </c>
    </row>
    <row r="789" spans="1:34" x14ac:dyDescent="0.2">
      <c r="A789" s="347">
        <f t="shared" ca="1" si="354"/>
        <v>1E-4</v>
      </c>
      <c r="B789" s="304">
        <f t="shared" ca="1" si="355"/>
        <v>36.826900000001103</v>
      </c>
      <c r="D789" s="306">
        <f t="shared" ca="1" si="356"/>
        <v>-0.54839098387985652</v>
      </c>
      <c r="E789" s="307">
        <f t="shared" ca="1" si="357"/>
        <v>-0.50331919435916816</v>
      </c>
      <c r="F789" s="304">
        <f t="shared" ca="1" si="358"/>
        <v>0.74435400355682857</v>
      </c>
      <c r="G789" s="306">
        <f t="shared" ca="1" si="359"/>
        <v>6.1860872880641251</v>
      </c>
      <c r="H789" s="307">
        <f t="shared" ca="1" si="360"/>
        <v>-104.98436241616534</v>
      </c>
      <c r="I789" s="304">
        <f t="shared" ca="1" si="361"/>
        <v>105.16645866370274</v>
      </c>
      <c r="J789" s="306">
        <f t="shared" ca="1" si="362"/>
        <v>745.87074281998321</v>
      </c>
      <c r="K789" s="307">
        <f t="shared" ca="1" si="363"/>
        <v>-11.491991128901061</v>
      </c>
      <c r="L789" s="304">
        <f t="shared" ca="1" si="348"/>
        <v>745.9592688980681</v>
      </c>
      <c r="M789" s="306">
        <f t="shared" ca="1" si="364"/>
        <v>-1.5119404876320477</v>
      </c>
      <c r="N789" s="304">
        <f t="shared" ca="1" si="365"/>
        <v>-86.627808816267972</v>
      </c>
      <c r="P789" s="310">
        <f t="shared" ca="1" si="366"/>
        <v>23</v>
      </c>
      <c r="Q789" s="304">
        <f t="shared" ca="1" si="367"/>
        <v>0</v>
      </c>
      <c r="R789" s="306">
        <f t="shared" ca="1" si="368"/>
        <v>0</v>
      </c>
      <c r="S789" s="307">
        <f t="shared" ca="1" si="369"/>
        <v>2.9792999999999985</v>
      </c>
      <c r="T789" s="304">
        <f t="shared" ca="1" si="349"/>
        <v>29.226932999999988</v>
      </c>
      <c r="U789" s="311">
        <f t="shared" ca="1" si="350"/>
        <v>0</v>
      </c>
      <c r="V789" s="306">
        <f t="shared" ca="1" si="351"/>
        <v>1.2264085782817462</v>
      </c>
      <c r="W789" s="304">
        <f t="shared" ca="1" si="352"/>
        <v>27.775542413744315</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0.47018999733606215</v>
      </c>
      <c r="AH789" s="304">
        <f t="shared" ca="1" si="376"/>
        <v>-9.3228236221267338</v>
      </c>
    </row>
    <row r="790" spans="1:34" x14ac:dyDescent="0.2">
      <c r="A790" s="347">
        <f t="shared" ca="1" si="354"/>
        <v>1E-4</v>
      </c>
      <c r="B790" s="304">
        <f t="shared" ca="1" si="355"/>
        <v>36.827000000001107</v>
      </c>
      <c r="D790" s="306">
        <f t="shared" ca="1" si="356"/>
        <v>-0.5483869433861005</v>
      </c>
      <c r="E790" s="307">
        <f t="shared" ca="1" si="357"/>
        <v>-0.50330080100501995</v>
      </c>
      <c r="F790" s="304">
        <f t="shared" ca="1" si="358"/>
        <v>0.74433858960062316</v>
      </c>
      <c r="G790" s="306">
        <f t="shared" ca="1" si="359"/>
        <v>6.1860324493697867</v>
      </c>
      <c r="H790" s="307">
        <f t="shared" ca="1" si="360"/>
        <v>-104.98441274624544</v>
      </c>
      <c r="I790" s="304">
        <f t="shared" ca="1" si="361"/>
        <v>105.16650568093759</v>
      </c>
      <c r="J790" s="306">
        <f t="shared" ca="1" si="362"/>
        <v>745.87074281998321</v>
      </c>
      <c r="K790" s="307">
        <f t="shared" ca="1" si="363"/>
        <v>-11.502489567659181</v>
      </c>
      <c r="L790" s="304">
        <f t="shared" ca="1" si="348"/>
        <v>745.95943070725207</v>
      </c>
      <c r="M790" s="306">
        <f t="shared" ca="1" si="364"/>
        <v>-1.5119410363262322</v>
      </c>
      <c r="N790" s="304">
        <f t="shared" ca="1" si="365"/>
        <v>-86.627840254128998</v>
      </c>
      <c r="P790" s="310">
        <f t="shared" ca="1" si="366"/>
        <v>23</v>
      </c>
      <c r="Q790" s="304">
        <f t="shared" ca="1" si="367"/>
        <v>0</v>
      </c>
      <c r="R790" s="306">
        <f t="shared" ca="1" si="368"/>
        <v>0</v>
      </c>
      <c r="S790" s="307">
        <f t="shared" ca="1" si="369"/>
        <v>2.9792999999999985</v>
      </c>
      <c r="T790" s="304">
        <f t="shared" ca="1" si="349"/>
        <v>29.226932999999988</v>
      </c>
      <c r="U790" s="311">
        <f t="shared" ca="1" si="350"/>
        <v>0</v>
      </c>
      <c r="V790" s="306">
        <f t="shared" ca="1" si="351"/>
        <v>1.2264098658203826</v>
      </c>
      <c r="W790" s="304">
        <f t="shared" ca="1" si="352"/>
        <v>27.775596409253716</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0.47017219012531264</v>
      </c>
      <c r="AH790" s="304">
        <f t="shared" ca="1" si="376"/>
        <v>-9.3228417459619131</v>
      </c>
    </row>
    <row r="791" spans="1:34" x14ac:dyDescent="0.2">
      <c r="A791" s="347">
        <f t="shared" ca="1" si="354"/>
        <v>1E-4</v>
      </c>
      <c r="B791" s="304">
        <f t="shared" ca="1" si="355"/>
        <v>36.82710000000111</v>
      </c>
      <c r="D791" s="306">
        <f t="shared" ca="1" si="356"/>
        <v>-0.54838290290571734</v>
      </c>
      <c r="E791" s="307">
        <f t="shared" ca="1" si="357"/>
        <v>-0.5032824079344671</v>
      </c>
      <c r="F791" s="304">
        <f t="shared" ca="1" si="358"/>
        <v>0.74432317600328468</v>
      </c>
      <c r="G791" s="306">
        <f t="shared" ca="1" si="359"/>
        <v>6.1859776110794957</v>
      </c>
      <c r="H791" s="307">
        <f t="shared" ca="1" si="360"/>
        <v>-104.98446307448623</v>
      </c>
      <c r="I791" s="304">
        <f t="shared" ca="1" si="361"/>
        <v>105.16655269639173</v>
      </c>
      <c r="J791" s="306">
        <f t="shared" ca="1" si="362"/>
        <v>745.87074281998321</v>
      </c>
      <c r="K791" s="307">
        <f t="shared" ca="1" si="363"/>
        <v>-11.512988011450217</v>
      </c>
      <c r="L791" s="304">
        <f t="shared" ca="1" si="348"/>
        <v>745.95959266423097</v>
      </c>
      <c r="M791" s="306">
        <f t="shared" ca="1" si="364"/>
        <v>-1.5119415850150622</v>
      </c>
      <c r="N791" s="304">
        <f t="shared" ca="1" si="365"/>
        <v>-86.627871691683211</v>
      </c>
      <c r="P791" s="310">
        <f t="shared" ca="1" si="366"/>
        <v>23</v>
      </c>
      <c r="Q791" s="304">
        <f t="shared" ca="1" si="367"/>
        <v>0</v>
      </c>
      <c r="R791" s="306">
        <f t="shared" ca="1" si="368"/>
        <v>0</v>
      </c>
      <c r="S791" s="307">
        <f t="shared" ca="1" si="369"/>
        <v>2.9792999999999985</v>
      </c>
      <c r="T791" s="304">
        <f t="shared" ca="1" si="349"/>
        <v>29.226932999999988</v>
      </c>
      <c r="U791" s="311">
        <f t="shared" ca="1" si="350"/>
        <v>0</v>
      </c>
      <c r="V791" s="306">
        <f t="shared" ca="1" si="351"/>
        <v>1.2264111533609892</v>
      </c>
      <c r="W791" s="304">
        <f t="shared" ca="1" si="352"/>
        <v>27.775650403930385</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0.47015438318803504</v>
      </c>
      <c r="AH791" s="304">
        <f t="shared" ca="1" si="376"/>
        <v>-9.3228598695175808</v>
      </c>
    </row>
    <row r="792" spans="1:34" x14ac:dyDescent="0.2">
      <c r="A792" s="347">
        <f t="shared" ca="1" si="354"/>
        <v>1E-4</v>
      </c>
      <c r="B792" s="304">
        <f t="shared" ca="1" si="355"/>
        <v>36.827200000001113</v>
      </c>
      <c r="D792" s="306">
        <f t="shared" ca="1" si="356"/>
        <v>-0.54837886243870804</v>
      </c>
      <c r="E792" s="307">
        <f t="shared" ca="1" si="357"/>
        <v>-0.50326401514750607</v>
      </c>
      <c r="F792" s="304">
        <f t="shared" ca="1" si="358"/>
        <v>0.7443077627648127</v>
      </c>
      <c r="G792" s="306">
        <f t="shared" ca="1" si="359"/>
        <v>6.1859227731932522</v>
      </c>
      <c r="H792" s="307">
        <f t="shared" ca="1" si="360"/>
        <v>-104.98451340088775</v>
      </c>
      <c r="I792" s="304">
        <f t="shared" ca="1" si="361"/>
        <v>105.16659971006521</v>
      </c>
      <c r="J792" s="306">
        <f t="shared" ca="1" si="362"/>
        <v>745.87074281998321</v>
      </c>
      <c r="K792" s="307">
        <f t="shared" ca="1" si="363"/>
        <v>-11.523486460273986</v>
      </c>
      <c r="L792" s="304">
        <f t="shared" ca="1" si="348"/>
        <v>745.95975476900469</v>
      </c>
      <c r="M792" s="306">
        <f t="shared" ca="1" si="364"/>
        <v>-1.5119421336985372</v>
      </c>
      <c r="N792" s="304">
        <f t="shared" ca="1" si="365"/>
        <v>-86.627903128930626</v>
      </c>
      <c r="P792" s="310">
        <f t="shared" ca="1" si="366"/>
        <v>23</v>
      </c>
      <c r="Q792" s="304">
        <f t="shared" ca="1" si="367"/>
        <v>0</v>
      </c>
      <c r="R792" s="306">
        <f t="shared" ca="1" si="368"/>
        <v>0</v>
      </c>
      <c r="S792" s="307">
        <f t="shared" ca="1" si="369"/>
        <v>2.9792999999999985</v>
      </c>
      <c r="T792" s="304">
        <f t="shared" ca="1" si="349"/>
        <v>29.226932999999988</v>
      </c>
      <c r="U792" s="311">
        <f t="shared" ca="1" si="350"/>
        <v>0</v>
      </c>
      <c r="V792" s="306">
        <f t="shared" ca="1" si="351"/>
        <v>1.2264124409035653</v>
      </c>
      <c r="W792" s="304">
        <f t="shared" ca="1" si="352"/>
        <v>27.775704397774312</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0.4701365765242258</v>
      </c>
      <c r="AH792" s="304">
        <f t="shared" ca="1" si="376"/>
        <v>-9.3228779927937424</v>
      </c>
    </row>
    <row r="793" spans="1:34" x14ac:dyDescent="0.2">
      <c r="A793" s="347">
        <f t="shared" ca="1" si="354"/>
        <v>1E-4</v>
      </c>
      <c r="B793" s="304">
        <f t="shared" ca="1" si="355"/>
        <v>36.827300000001117</v>
      </c>
      <c r="D793" s="306">
        <f t="shared" ca="1" si="356"/>
        <v>-0.54837482198507537</v>
      </c>
      <c r="E793" s="307">
        <f t="shared" ca="1" si="357"/>
        <v>-0.50324562264413863</v>
      </c>
      <c r="F793" s="304">
        <f t="shared" ca="1" si="358"/>
        <v>0.74429234988521131</v>
      </c>
      <c r="G793" s="306">
        <f t="shared" ca="1" si="359"/>
        <v>6.1858679357110535</v>
      </c>
      <c r="H793" s="307">
        <f t="shared" ca="1" si="360"/>
        <v>-104.98456372545002</v>
      </c>
      <c r="I793" s="304">
        <f t="shared" ca="1" si="361"/>
        <v>105.16664672195807</v>
      </c>
      <c r="J793" s="306">
        <f t="shared" ca="1" si="362"/>
        <v>745.87074281998321</v>
      </c>
      <c r="K793" s="307">
        <f t="shared" ca="1" si="363"/>
        <v>-11.533984914130302</v>
      </c>
      <c r="L793" s="304">
        <f t="shared" ca="1" si="348"/>
        <v>745.95991702157357</v>
      </c>
      <c r="M793" s="306">
        <f t="shared" ca="1" si="364"/>
        <v>-1.5119426823766577</v>
      </c>
      <c r="N793" s="304">
        <f t="shared" ca="1" si="365"/>
        <v>-86.627934565871243</v>
      </c>
      <c r="P793" s="310">
        <f t="shared" ca="1" si="366"/>
        <v>23</v>
      </c>
      <c r="Q793" s="304">
        <f t="shared" ca="1" si="367"/>
        <v>0</v>
      </c>
      <c r="R793" s="306">
        <f t="shared" ca="1" si="368"/>
        <v>0</v>
      </c>
      <c r="S793" s="307">
        <f t="shared" ca="1" si="369"/>
        <v>2.9792999999999985</v>
      </c>
      <c r="T793" s="304">
        <f t="shared" ca="1" si="349"/>
        <v>29.226932999999988</v>
      </c>
      <c r="U793" s="311">
        <f t="shared" ca="1" si="350"/>
        <v>0</v>
      </c>
      <c r="V793" s="306">
        <f t="shared" ca="1" si="351"/>
        <v>1.2264137284481107</v>
      </c>
      <c r="W793" s="304">
        <f t="shared" ca="1" si="352"/>
        <v>27.775758390785523</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0.47011877013388492</v>
      </c>
      <c r="AH793" s="304">
        <f t="shared" ca="1" si="376"/>
        <v>-9.322896115790396</v>
      </c>
    </row>
    <row r="794" spans="1:34" x14ac:dyDescent="0.2">
      <c r="A794" s="347">
        <f t="shared" ca="1" si="354"/>
        <v>1E-4</v>
      </c>
      <c r="B794" s="304">
        <f t="shared" ca="1" si="355"/>
        <v>36.82740000000112</v>
      </c>
      <c r="D794" s="306">
        <f t="shared" ca="1" si="356"/>
        <v>-0.54837078154481822</v>
      </c>
      <c r="E794" s="307">
        <f t="shared" ca="1" si="357"/>
        <v>-0.50322723042435769</v>
      </c>
      <c r="F794" s="304">
        <f t="shared" ca="1" si="358"/>
        <v>0.74427693736447609</v>
      </c>
      <c r="G794" s="306">
        <f t="shared" ca="1" si="359"/>
        <v>6.1858130986328987</v>
      </c>
      <c r="H794" s="307">
        <f t="shared" ca="1" si="360"/>
        <v>-104.98461404817306</v>
      </c>
      <c r="I794" s="304">
        <f t="shared" ca="1" si="361"/>
        <v>105.1666937320703</v>
      </c>
      <c r="J794" s="306">
        <f t="shared" ca="1" si="362"/>
        <v>745.87074281998321</v>
      </c>
      <c r="K794" s="307">
        <f t="shared" ca="1" si="363"/>
        <v>-11.544483373018984</v>
      </c>
      <c r="L794" s="304">
        <f t="shared" ca="1" si="348"/>
        <v>745.96007942193762</v>
      </c>
      <c r="M794" s="306">
        <f t="shared" ca="1" si="364"/>
        <v>-1.5119432310494239</v>
      </c>
      <c r="N794" s="304">
        <f t="shared" ca="1" si="365"/>
        <v>-86.627966002505076</v>
      </c>
      <c r="P794" s="310">
        <f t="shared" ca="1" si="366"/>
        <v>23</v>
      </c>
      <c r="Q794" s="304">
        <f t="shared" ca="1" si="367"/>
        <v>0</v>
      </c>
      <c r="R794" s="306">
        <f t="shared" ca="1" si="368"/>
        <v>0</v>
      </c>
      <c r="S794" s="307">
        <f t="shared" ca="1" si="369"/>
        <v>2.9792999999999985</v>
      </c>
      <c r="T794" s="304">
        <f t="shared" ca="1" si="349"/>
        <v>29.226932999999988</v>
      </c>
      <c r="U794" s="311">
        <f t="shared" ca="1" si="350"/>
        <v>0</v>
      </c>
      <c r="V794" s="306">
        <f t="shared" ca="1" si="351"/>
        <v>1.2264150159946261</v>
      </c>
      <c r="W794" s="304">
        <f t="shared" ca="1" si="352"/>
        <v>27.77581238296402</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0.47010096401701063</v>
      </c>
      <c r="AH794" s="304">
        <f t="shared" ca="1" si="376"/>
        <v>-9.322914238507547</v>
      </c>
    </row>
    <row r="795" spans="1:34" x14ac:dyDescent="0.2">
      <c r="A795" s="347">
        <f t="shared" ca="1" si="354"/>
        <v>1E-4</v>
      </c>
      <c r="B795" s="304">
        <f t="shared" ca="1" si="355"/>
        <v>36.827500000001123</v>
      </c>
      <c r="D795" s="306">
        <f t="shared" ca="1" si="356"/>
        <v>-0.54836674111793582</v>
      </c>
      <c r="E795" s="307">
        <f t="shared" ca="1" si="357"/>
        <v>-0.50320883848815789</v>
      </c>
      <c r="F795" s="304">
        <f t="shared" ca="1" si="358"/>
        <v>0.74426152520260391</v>
      </c>
      <c r="G795" s="306">
        <f t="shared" ca="1" si="359"/>
        <v>6.185758261958787</v>
      </c>
      <c r="H795" s="307">
        <f t="shared" ca="1" si="360"/>
        <v>-104.9846643690569</v>
      </c>
      <c r="I795" s="304">
        <f t="shared" ca="1" si="361"/>
        <v>105.16674074040193</v>
      </c>
      <c r="J795" s="306">
        <f t="shared" ca="1" si="362"/>
        <v>745.87074281998321</v>
      </c>
      <c r="K795" s="307">
        <f t="shared" ca="1" si="363"/>
        <v>-11.554981836939845</v>
      </c>
      <c r="L795" s="304">
        <f t="shared" ca="1" si="348"/>
        <v>745.96024197009694</v>
      </c>
      <c r="M795" s="306">
        <f t="shared" ca="1" si="364"/>
        <v>-1.5119437797168356</v>
      </c>
      <c r="N795" s="304">
        <f t="shared" ca="1" si="365"/>
        <v>-86.627997438832125</v>
      </c>
      <c r="P795" s="310">
        <f t="shared" ca="1" si="366"/>
        <v>23</v>
      </c>
      <c r="Q795" s="304">
        <f t="shared" ca="1" si="367"/>
        <v>0</v>
      </c>
      <c r="R795" s="306">
        <f t="shared" ca="1" si="368"/>
        <v>0</v>
      </c>
      <c r="S795" s="307">
        <f t="shared" ca="1" si="369"/>
        <v>2.9792999999999985</v>
      </c>
      <c r="T795" s="304">
        <f t="shared" ca="1" si="349"/>
        <v>29.226932999999988</v>
      </c>
      <c r="U795" s="311">
        <f t="shared" ca="1" si="350"/>
        <v>0</v>
      </c>
      <c r="V795" s="306">
        <f t="shared" ca="1" si="351"/>
        <v>1.226416303543111</v>
      </c>
      <c r="W795" s="304">
        <f t="shared" ca="1" si="352"/>
        <v>27.775866374309803</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0.47008315817359581</v>
      </c>
      <c r="AH795" s="304">
        <f t="shared" ca="1" si="376"/>
        <v>-9.3229323609452006</v>
      </c>
    </row>
    <row r="796" spans="1:34" x14ac:dyDescent="0.2">
      <c r="A796" s="347">
        <f t="shared" ca="1" si="354"/>
        <v>1E-4</v>
      </c>
      <c r="B796" s="304">
        <f t="shared" ca="1" si="355"/>
        <v>36.827600000001127</v>
      </c>
      <c r="D796" s="306">
        <f t="shared" ca="1" si="356"/>
        <v>-0.54836270070442839</v>
      </c>
      <c r="E796" s="307">
        <f t="shared" ca="1" si="357"/>
        <v>-0.50319044683554637</v>
      </c>
      <c r="F796" s="304">
        <f t="shared" ca="1" si="358"/>
        <v>0.74424611339960078</v>
      </c>
      <c r="G796" s="306">
        <f t="shared" ca="1" si="359"/>
        <v>6.1857034256887165</v>
      </c>
      <c r="H796" s="307">
        <f t="shared" ca="1" si="360"/>
        <v>-104.98471468810159</v>
      </c>
      <c r="I796" s="304">
        <f t="shared" ca="1" si="361"/>
        <v>105.16678774695303</v>
      </c>
      <c r="J796" s="306">
        <f t="shared" ca="1" si="362"/>
        <v>745.87074281998321</v>
      </c>
      <c r="K796" s="307">
        <f t="shared" ca="1" si="363"/>
        <v>-11.565480305892702</v>
      </c>
      <c r="L796" s="304">
        <f t="shared" ca="1" si="348"/>
        <v>745.96040466605155</v>
      </c>
      <c r="M796" s="306">
        <f t="shared" ca="1" si="364"/>
        <v>-1.5119443283788929</v>
      </c>
      <c r="N796" s="304">
        <f t="shared" ca="1" si="365"/>
        <v>-86.62802887485239</v>
      </c>
      <c r="P796" s="310">
        <f t="shared" ca="1" si="366"/>
        <v>23</v>
      </c>
      <c r="Q796" s="304">
        <f t="shared" ca="1" si="367"/>
        <v>0</v>
      </c>
      <c r="R796" s="306">
        <f t="shared" ca="1" si="368"/>
        <v>0</v>
      </c>
      <c r="S796" s="307">
        <f t="shared" ca="1" si="369"/>
        <v>2.9792999999999985</v>
      </c>
      <c r="T796" s="304">
        <f t="shared" ca="1" si="349"/>
        <v>29.226932999999988</v>
      </c>
      <c r="U796" s="311">
        <f t="shared" ca="1" si="350"/>
        <v>0</v>
      </c>
      <c r="V796" s="306">
        <f t="shared" ca="1" si="351"/>
        <v>1.2264175910935657</v>
      </c>
      <c r="W796" s="304">
        <f t="shared" ca="1" si="352"/>
        <v>27.775920364822916</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0.47006535260364402</v>
      </c>
      <c r="AH796" s="304">
        <f t="shared" ca="1" si="376"/>
        <v>-9.3229504831033516</v>
      </c>
    </row>
    <row r="797" spans="1:34" x14ac:dyDescent="0.2">
      <c r="A797" s="347">
        <f t="shared" ca="1" si="354"/>
        <v>1E-4</v>
      </c>
      <c r="B797" s="304">
        <f t="shared" ca="1" si="355"/>
        <v>36.82770000000113</v>
      </c>
      <c r="D797" s="306">
        <f t="shared" ca="1" si="356"/>
        <v>-0.54835866030429803</v>
      </c>
      <c r="E797" s="307">
        <f t="shared" ca="1" si="357"/>
        <v>-0.50317205546650001</v>
      </c>
      <c r="F797" s="304">
        <f t="shared" ca="1" si="358"/>
        <v>0.74423070195545349</v>
      </c>
      <c r="G797" s="306">
        <f t="shared" ca="1" si="359"/>
        <v>6.1856485898226863</v>
      </c>
      <c r="H797" s="307">
        <f t="shared" ca="1" si="360"/>
        <v>-104.98476500530714</v>
      </c>
      <c r="I797" s="304">
        <f t="shared" ca="1" si="361"/>
        <v>105.1668347517236</v>
      </c>
      <c r="J797" s="306">
        <f t="shared" ca="1" si="362"/>
        <v>745.87074281998321</v>
      </c>
      <c r="K797" s="307">
        <f t="shared" ca="1" si="363"/>
        <v>-11.575978779877373</v>
      </c>
      <c r="L797" s="304">
        <f t="shared" ca="1" si="348"/>
        <v>745.96056750980188</v>
      </c>
      <c r="M797" s="306">
        <f t="shared" ca="1" si="364"/>
        <v>-1.5119448770355959</v>
      </c>
      <c r="N797" s="304">
        <f t="shared" ca="1" si="365"/>
        <v>-86.628060310565871</v>
      </c>
      <c r="P797" s="310">
        <f t="shared" ca="1" si="366"/>
        <v>23</v>
      </c>
      <c r="Q797" s="304">
        <f t="shared" ca="1" si="367"/>
        <v>0</v>
      </c>
      <c r="R797" s="306">
        <f t="shared" ca="1" si="368"/>
        <v>0</v>
      </c>
      <c r="S797" s="307">
        <f t="shared" ca="1" si="369"/>
        <v>2.9792999999999985</v>
      </c>
      <c r="T797" s="304">
        <f t="shared" ca="1" si="349"/>
        <v>29.226932999999988</v>
      </c>
      <c r="U797" s="311">
        <f t="shared" ca="1" si="350"/>
        <v>0</v>
      </c>
      <c r="V797" s="306">
        <f t="shared" ca="1" si="351"/>
        <v>1.22641887864599</v>
      </c>
      <c r="W797" s="304">
        <f t="shared" ca="1" si="352"/>
        <v>27.77597435450334</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0.47004754730713927</v>
      </c>
      <c r="AH797" s="304">
        <f t="shared" ca="1" si="376"/>
        <v>-9.3229686049820195</v>
      </c>
    </row>
    <row r="798" spans="1:34" x14ac:dyDescent="0.2">
      <c r="A798" s="347">
        <f t="shared" ca="1" si="354"/>
        <v>1E-4</v>
      </c>
      <c r="B798" s="304">
        <f t="shared" ca="1" si="355"/>
        <v>36.827800000001133</v>
      </c>
      <c r="D798" s="306">
        <f t="shared" ca="1" si="356"/>
        <v>-0.54835461991754464</v>
      </c>
      <c r="E798" s="307">
        <f t="shared" ca="1" si="357"/>
        <v>-0.50315366438103126</v>
      </c>
      <c r="F798" s="304">
        <f t="shared" ca="1" si="358"/>
        <v>0.74421529087017169</v>
      </c>
      <c r="G798" s="306">
        <f t="shared" ca="1" si="359"/>
        <v>6.1855937543606947</v>
      </c>
      <c r="H798" s="307">
        <f t="shared" ca="1" si="360"/>
        <v>-104.98481532067358</v>
      </c>
      <c r="I798" s="304">
        <f t="shared" ca="1" si="361"/>
        <v>105.16688175471366</v>
      </c>
      <c r="J798" s="306">
        <f t="shared" ca="1" si="362"/>
        <v>745.87074281998321</v>
      </c>
      <c r="K798" s="307">
        <f t="shared" ca="1" si="363"/>
        <v>-11.586477258893671</v>
      </c>
      <c r="L798" s="304">
        <f t="shared" ca="1" si="348"/>
        <v>745.96073050134783</v>
      </c>
      <c r="M798" s="306">
        <f t="shared" ca="1" si="364"/>
        <v>-1.5119454256869447</v>
      </c>
      <c r="N798" s="304">
        <f t="shared" ca="1" si="365"/>
        <v>-86.628091745972583</v>
      </c>
      <c r="P798" s="310">
        <f t="shared" ca="1" si="366"/>
        <v>23</v>
      </c>
      <c r="Q798" s="304">
        <f t="shared" ca="1" si="367"/>
        <v>0</v>
      </c>
      <c r="R798" s="306">
        <f t="shared" ca="1" si="368"/>
        <v>0</v>
      </c>
      <c r="S798" s="307">
        <f t="shared" ca="1" si="369"/>
        <v>2.9792999999999985</v>
      </c>
      <c r="T798" s="304">
        <f t="shared" ca="1" si="349"/>
        <v>29.226932999999988</v>
      </c>
      <c r="U798" s="311">
        <f t="shared" ca="1" si="350"/>
        <v>0</v>
      </c>
      <c r="V798" s="306">
        <f t="shared" ca="1" si="351"/>
        <v>1.226420166200384</v>
      </c>
      <c r="W798" s="304">
        <f t="shared" ca="1" si="352"/>
        <v>27.776028343351086</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0.47002974228408867</v>
      </c>
      <c r="AH798" s="304">
        <f t="shared" ca="1" si="376"/>
        <v>-9.3229867265811954</v>
      </c>
    </row>
    <row r="799" spans="1:34" x14ac:dyDescent="0.2">
      <c r="A799" s="347">
        <f t="shared" ca="1" si="354"/>
        <v>1E-4</v>
      </c>
      <c r="B799" s="304">
        <f t="shared" ca="1" si="355"/>
        <v>36.827900000001137</v>
      </c>
      <c r="D799" s="306">
        <f t="shared" ca="1" si="356"/>
        <v>-0.54835057954416755</v>
      </c>
      <c r="E799" s="307">
        <f t="shared" ca="1" si="357"/>
        <v>-0.50313527357913479</v>
      </c>
      <c r="F799" s="304">
        <f t="shared" ca="1" si="358"/>
        <v>0.74419988014375227</v>
      </c>
      <c r="G799" s="306">
        <f t="shared" ca="1" si="359"/>
        <v>6.1855389193027399</v>
      </c>
      <c r="H799" s="307">
        <f t="shared" ca="1" si="360"/>
        <v>-104.98486563420093</v>
      </c>
      <c r="I799" s="304">
        <f t="shared" ca="1" si="361"/>
        <v>105.16692875592324</v>
      </c>
      <c r="J799" s="306">
        <f t="shared" ca="1" si="362"/>
        <v>745.87074281998321</v>
      </c>
      <c r="K799" s="307">
        <f t="shared" ca="1" si="363"/>
        <v>-11.596975742941416</v>
      </c>
      <c r="L799" s="304">
        <f t="shared" ca="1" si="348"/>
        <v>745.96089364068939</v>
      </c>
      <c r="M799" s="306">
        <f t="shared" ca="1" si="364"/>
        <v>-1.5119459743329393</v>
      </c>
      <c r="N799" s="304">
        <f t="shared" ca="1" si="365"/>
        <v>-86.62812318107251</v>
      </c>
      <c r="P799" s="310">
        <f t="shared" ca="1" si="366"/>
        <v>23</v>
      </c>
      <c r="Q799" s="304">
        <f t="shared" ca="1" si="367"/>
        <v>0</v>
      </c>
      <c r="R799" s="306">
        <f t="shared" ca="1" si="368"/>
        <v>0</v>
      </c>
      <c r="S799" s="307">
        <f t="shared" ca="1" si="369"/>
        <v>2.9792999999999985</v>
      </c>
      <c r="T799" s="304">
        <f t="shared" ca="1" si="349"/>
        <v>29.226932999999988</v>
      </c>
      <c r="U799" s="311">
        <f t="shared" ca="1" si="350"/>
        <v>0</v>
      </c>
      <c r="V799" s="306">
        <f t="shared" ca="1" si="351"/>
        <v>1.2264214537567473</v>
      </c>
      <c r="W799" s="304">
        <f t="shared" ca="1" si="352"/>
        <v>27.77608233136618</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0.47001193753449044</v>
      </c>
      <c r="AH799" s="304">
        <f t="shared" ca="1" si="376"/>
        <v>-9.3230048479008829</v>
      </c>
    </row>
    <row r="800" spans="1:34" x14ac:dyDescent="0.2">
      <c r="A800" s="347">
        <f t="shared" ca="1" si="354"/>
        <v>1E-4</v>
      </c>
      <c r="B800" s="304">
        <f t="shared" ca="1" si="355"/>
        <v>36.82800000000114</v>
      </c>
      <c r="D800" s="306">
        <f t="shared" ca="1" si="356"/>
        <v>-0.54834653918416776</v>
      </c>
      <c r="E800" s="307">
        <f t="shared" ca="1" si="357"/>
        <v>-0.50311688306080171</v>
      </c>
      <c r="F800" s="304">
        <f t="shared" ca="1" si="358"/>
        <v>0.74418446977619102</v>
      </c>
      <c r="G800" s="306">
        <f t="shared" ca="1" si="359"/>
        <v>6.1854840846488219</v>
      </c>
      <c r="H800" s="307">
        <f t="shared" ca="1" si="360"/>
        <v>-104.98491594588924</v>
      </c>
      <c r="I800" s="304">
        <f t="shared" ca="1" si="361"/>
        <v>105.16697575535237</v>
      </c>
      <c r="J800" s="306">
        <f t="shared" ca="1" si="362"/>
        <v>745.87074281998321</v>
      </c>
      <c r="K800" s="307">
        <f t="shared" ca="1" si="363"/>
        <v>-11.607474232020421</v>
      </c>
      <c r="L800" s="304">
        <f t="shared" ca="1" si="348"/>
        <v>745.96105692782692</v>
      </c>
      <c r="M800" s="306">
        <f t="shared" ca="1" si="364"/>
        <v>-1.5119465229735798</v>
      </c>
      <c r="N800" s="304">
        <f t="shared" ca="1" si="365"/>
        <v>-86.628154615865682</v>
      </c>
      <c r="P800" s="310">
        <f t="shared" ca="1" si="366"/>
        <v>23</v>
      </c>
      <c r="Q800" s="304">
        <f t="shared" ca="1" si="367"/>
        <v>0</v>
      </c>
      <c r="R800" s="306">
        <f t="shared" ca="1" si="368"/>
        <v>0</v>
      </c>
      <c r="S800" s="307">
        <f t="shared" ca="1" si="369"/>
        <v>2.9792999999999985</v>
      </c>
      <c r="T800" s="304">
        <f t="shared" ca="1" si="349"/>
        <v>29.226932999999988</v>
      </c>
      <c r="U800" s="311">
        <f t="shared" ca="1" si="350"/>
        <v>0</v>
      </c>
      <c r="V800" s="306">
        <f t="shared" ca="1" si="351"/>
        <v>1.2264227413150801</v>
      </c>
      <c r="W800" s="304">
        <f t="shared" ca="1" si="352"/>
        <v>27.776136318548605</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0.46999413305833393</v>
      </c>
      <c r="AH800" s="304">
        <f t="shared" ca="1" si="376"/>
        <v>-9.3230229689410908</v>
      </c>
    </row>
    <row r="801" spans="1:34" x14ac:dyDescent="0.2">
      <c r="A801" s="347">
        <f t="shared" ca="1" si="354"/>
        <v>1E-4</v>
      </c>
      <c r="B801" s="304">
        <f t="shared" ca="1" si="355"/>
        <v>36.828100000001143</v>
      </c>
      <c r="D801" s="306">
        <f t="shared" ca="1" si="356"/>
        <v>-0.54834249883754582</v>
      </c>
      <c r="E801" s="307">
        <f t="shared" ca="1" si="357"/>
        <v>-0.50309849282603558</v>
      </c>
      <c r="F801" s="304">
        <f t="shared" ca="1" si="358"/>
        <v>0.74416905976749159</v>
      </c>
      <c r="G801" s="306">
        <f t="shared" ca="1" si="359"/>
        <v>6.1854292503989381</v>
      </c>
      <c r="H801" s="307">
        <f t="shared" ca="1" si="360"/>
        <v>-104.98496625573853</v>
      </c>
      <c r="I801" s="304">
        <f t="shared" ca="1" si="361"/>
        <v>105.16702275300108</v>
      </c>
      <c r="J801" s="306">
        <f t="shared" ca="1" si="362"/>
        <v>745.87074281998321</v>
      </c>
      <c r="K801" s="307">
        <f t="shared" ca="1" si="363"/>
        <v>-11.617972726130501</v>
      </c>
      <c r="L801" s="304">
        <f t="shared" ca="1" si="348"/>
        <v>745.96122036276029</v>
      </c>
      <c r="M801" s="306">
        <f t="shared" ca="1" si="364"/>
        <v>-1.5119470716088661</v>
      </c>
      <c r="N801" s="304">
        <f t="shared" ca="1" si="365"/>
        <v>-86.628186050352085</v>
      </c>
      <c r="P801" s="310">
        <f t="shared" ca="1" si="366"/>
        <v>23</v>
      </c>
      <c r="Q801" s="304">
        <f t="shared" ca="1" si="367"/>
        <v>0</v>
      </c>
      <c r="R801" s="306">
        <f t="shared" ca="1" si="368"/>
        <v>0</v>
      </c>
      <c r="S801" s="307">
        <f t="shared" ca="1" si="369"/>
        <v>2.9792999999999985</v>
      </c>
      <c r="T801" s="304">
        <f t="shared" ca="1" si="349"/>
        <v>29.226932999999988</v>
      </c>
      <c r="U801" s="311">
        <f t="shared" ca="1" si="350"/>
        <v>0</v>
      </c>
      <c r="V801" s="306">
        <f t="shared" ca="1" si="351"/>
        <v>1.2264240288753827</v>
      </c>
      <c r="W801" s="304">
        <f t="shared" ca="1" si="352"/>
        <v>27.776190304898392</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0.46997632885562268</v>
      </c>
      <c r="AH801" s="304">
        <f t="shared" ca="1" si="376"/>
        <v>-9.3230410897018157</v>
      </c>
    </row>
    <row r="802" spans="1:34" x14ac:dyDescent="0.2">
      <c r="A802" s="347">
        <f t="shared" ca="1" si="354"/>
        <v>1E-4</v>
      </c>
      <c r="B802" s="304">
        <f t="shared" ca="1" si="355"/>
        <v>36.828200000001146</v>
      </c>
      <c r="D802" s="306">
        <f t="shared" ca="1" si="356"/>
        <v>-0.54833845850430296</v>
      </c>
      <c r="E802" s="307">
        <f t="shared" ca="1" si="357"/>
        <v>-0.50308010287482929</v>
      </c>
      <c r="F802" s="304">
        <f t="shared" ca="1" si="358"/>
        <v>0.74415365011765156</v>
      </c>
      <c r="G802" s="306">
        <f t="shared" ca="1" si="359"/>
        <v>6.1853744165530875</v>
      </c>
      <c r="H802" s="307">
        <f t="shared" ca="1" si="360"/>
        <v>-104.98501656374881</v>
      </c>
      <c r="I802" s="304">
        <f t="shared" ca="1" si="361"/>
        <v>105.16706974886941</v>
      </c>
      <c r="J802" s="306">
        <f t="shared" ca="1" si="362"/>
        <v>745.87074281998321</v>
      </c>
      <c r="K802" s="307">
        <f t="shared" ca="1" si="363"/>
        <v>-11.628471225271475</v>
      </c>
      <c r="L802" s="304">
        <f t="shared" ca="1" si="348"/>
        <v>745.96138394548984</v>
      </c>
      <c r="M802" s="306">
        <f t="shared" ca="1" si="364"/>
        <v>-1.5119476202387985</v>
      </c>
      <c r="N802" s="304">
        <f t="shared" ca="1" si="365"/>
        <v>-86.628217484531717</v>
      </c>
      <c r="P802" s="310">
        <f t="shared" ca="1" si="366"/>
        <v>23</v>
      </c>
      <c r="Q802" s="304">
        <f t="shared" ca="1" si="367"/>
        <v>0</v>
      </c>
      <c r="R802" s="306">
        <f t="shared" ca="1" si="368"/>
        <v>0</v>
      </c>
      <c r="S802" s="307">
        <f t="shared" ca="1" si="369"/>
        <v>2.9792999999999985</v>
      </c>
      <c r="T802" s="304">
        <f t="shared" ca="1" si="349"/>
        <v>29.226932999999988</v>
      </c>
      <c r="U802" s="311">
        <f t="shared" ca="1" si="350"/>
        <v>0</v>
      </c>
      <c r="V802" s="306">
        <f t="shared" ca="1" si="351"/>
        <v>1.2264253164376548</v>
      </c>
      <c r="W802" s="304">
        <f t="shared" ca="1" si="352"/>
        <v>27.776244290415569</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0.46995852492635137</v>
      </c>
      <c r="AH802" s="304">
        <f t="shared" ca="1" si="376"/>
        <v>-9.3230592101830645</v>
      </c>
    </row>
    <row r="803" spans="1:34" x14ac:dyDescent="0.2">
      <c r="A803" s="347">
        <f t="shared" ca="1" si="354"/>
        <v>1E-4</v>
      </c>
      <c r="B803" s="304">
        <f t="shared" ca="1" si="355"/>
        <v>36.82830000000115</v>
      </c>
      <c r="D803" s="306">
        <f t="shared" ca="1" si="356"/>
        <v>-0.54833441818443873</v>
      </c>
      <c r="E803" s="307">
        <f t="shared" ca="1" si="357"/>
        <v>-0.50306171320717219</v>
      </c>
      <c r="F803" s="304">
        <f t="shared" ca="1" si="358"/>
        <v>0.74413824082666391</v>
      </c>
      <c r="G803" s="306">
        <f t="shared" ca="1" si="359"/>
        <v>6.1853195831112693</v>
      </c>
      <c r="H803" s="307">
        <f t="shared" ca="1" si="360"/>
        <v>-104.98506686992013</v>
      </c>
      <c r="I803" s="304">
        <f t="shared" ca="1" si="361"/>
        <v>105.16711674295736</v>
      </c>
      <c r="J803" s="306">
        <f t="shared" ca="1" si="362"/>
        <v>745.87074281998321</v>
      </c>
      <c r="K803" s="307">
        <f t="shared" ca="1" si="363"/>
        <v>-11.63896972944316</v>
      </c>
      <c r="L803" s="304">
        <f t="shared" ca="1" si="348"/>
        <v>745.96154767601558</v>
      </c>
      <c r="M803" s="306">
        <f t="shared" ca="1" si="364"/>
        <v>-1.5119481688633771</v>
      </c>
      <c r="N803" s="304">
        <f t="shared" ca="1" si="365"/>
        <v>-86.628248918404623</v>
      </c>
      <c r="P803" s="310">
        <f t="shared" ca="1" si="366"/>
        <v>23</v>
      </c>
      <c r="Q803" s="304">
        <f t="shared" ca="1" si="367"/>
        <v>0</v>
      </c>
      <c r="R803" s="306">
        <f t="shared" ca="1" si="368"/>
        <v>0</v>
      </c>
      <c r="S803" s="307">
        <f t="shared" ca="1" si="369"/>
        <v>2.9792999999999985</v>
      </c>
      <c r="T803" s="304">
        <f t="shared" ca="1" si="349"/>
        <v>29.226932999999988</v>
      </c>
      <c r="U803" s="311">
        <f t="shared" ca="1" si="350"/>
        <v>0</v>
      </c>
      <c r="V803" s="306">
        <f t="shared" ca="1" si="351"/>
        <v>1.2264266040018967</v>
      </c>
      <c r="W803" s="304">
        <f t="shared" ca="1" si="352"/>
        <v>27.776298275100114</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0.46994072127050579</v>
      </c>
      <c r="AH803" s="304">
        <f t="shared" ca="1" si="376"/>
        <v>-9.3230773303848498</v>
      </c>
    </row>
    <row r="804" spans="1:34" x14ac:dyDescent="0.2">
      <c r="A804" s="347">
        <f t="shared" ca="1" si="354"/>
        <v>1E-4</v>
      </c>
      <c r="B804" s="304">
        <f t="shared" ca="1" si="355"/>
        <v>36.828400000001153</v>
      </c>
      <c r="D804" s="306">
        <f t="shared" ca="1" si="356"/>
        <v>-0.54833037787795103</v>
      </c>
      <c r="E804" s="307">
        <f t="shared" ca="1" si="357"/>
        <v>-0.5030433238230696</v>
      </c>
      <c r="F804" s="304">
        <f t="shared" ca="1" si="358"/>
        <v>0.74412283189453221</v>
      </c>
      <c r="G804" s="306">
        <f t="shared" ca="1" si="359"/>
        <v>6.1852647500734816</v>
      </c>
      <c r="H804" s="307">
        <f t="shared" ca="1" si="360"/>
        <v>-104.98511717425251</v>
      </c>
      <c r="I804" s="304">
        <f t="shared" ca="1" si="361"/>
        <v>105.16716373526496</v>
      </c>
      <c r="J804" s="306">
        <f t="shared" ca="1" si="362"/>
        <v>745.87074281998321</v>
      </c>
      <c r="K804" s="307">
        <f t="shared" ca="1" si="363"/>
        <v>-11.649468238645369</v>
      </c>
      <c r="L804" s="304">
        <f t="shared" ca="1" si="348"/>
        <v>745.96171155433751</v>
      </c>
      <c r="M804" s="306">
        <f t="shared" ca="1" si="364"/>
        <v>-1.5119487174826016</v>
      </c>
      <c r="N804" s="304">
        <f t="shared" ca="1" si="365"/>
        <v>-86.628280351970744</v>
      </c>
      <c r="P804" s="310">
        <f t="shared" ca="1" si="366"/>
        <v>23</v>
      </c>
      <c r="Q804" s="304">
        <f t="shared" ca="1" si="367"/>
        <v>0</v>
      </c>
      <c r="R804" s="306">
        <f t="shared" ca="1" si="368"/>
        <v>0</v>
      </c>
      <c r="S804" s="307">
        <f t="shared" ca="1" si="369"/>
        <v>2.9792999999999985</v>
      </c>
      <c r="T804" s="304">
        <f t="shared" ca="1" si="349"/>
        <v>29.226932999999988</v>
      </c>
      <c r="U804" s="311">
        <f t="shared" ca="1" si="350"/>
        <v>0</v>
      </c>
      <c r="V804" s="306">
        <f t="shared" ca="1" si="351"/>
        <v>1.2264278915681075</v>
      </c>
      <c r="W804" s="304">
        <f t="shared" ca="1" si="352"/>
        <v>27.776352258952024</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0.46992291788809659</v>
      </c>
      <c r="AH804" s="304">
        <f t="shared" ca="1" si="376"/>
        <v>-9.3230954503071626</v>
      </c>
    </row>
    <row r="805" spans="1:34" x14ac:dyDescent="0.2">
      <c r="A805" s="347">
        <f t="shared" ca="1" si="354"/>
        <v>1E-4</v>
      </c>
      <c r="B805" s="304">
        <f t="shared" ca="1" si="355"/>
        <v>36.828500000001156</v>
      </c>
      <c r="D805" s="306">
        <f t="shared" ca="1" si="356"/>
        <v>-0.54832633758484484</v>
      </c>
      <c r="E805" s="307">
        <f t="shared" ca="1" si="357"/>
        <v>-0.50302493472252685</v>
      </c>
      <c r="F805" s="304">
        <f t="shared" ca="1" si="358"/>
        <v>0.74410742332126456</v>
      </c>
      <c r="G805" s="306">
        <f t="shared" ca="1" si="359"/>
        <v>6.1852099174397228</v>
      </c>
      <c r="H805" s="307">
        <f t="shared" ca="1" si="360"/>
        <v>-104.98516747674599</v>
      </c>
      <c r="I805" s="304">
        <f t="shared" ca="1" si="361"/>
        <v>105.16721072579227</v>
      </c>
      <c r="J805" s="306">
        <f t="shared" ca="1" si="362"/>
        <v>745.87074281998321</v>
      </c>
      <c r="K805" s="307">
        <f t="shared" ca="1" si="363"/>
        <v>-11.659966752877919</v>
      </c>
      <c r="L805" s="304">
        <f t="shared" ca="1" si="348"/>
        <v>745.96187558045608</v>
      </c>
      <c r="M805" s="306">
        <f t="shared" ca="1" si="364"/>
        <v>-1.5119492660964726</v>
      </c>
      <c r="N805" s="304">
        <f t="shared" ca="1" si="365"/>
        <v>-86.628311785230125</v>
      </c>
      <c r="P805" s="310">
        <f t="shared" ca="1" si="366"/>
        <v>23</v>
      </c>
      <c r="Q805" s="304">
        <f t="shared" ca="1" si="367"/>
        <v>0</v>
      </c>
      <c r="R805" s="306">
        <f t="shared" ca="1" si="368"/>
        <v>0</v>
      </c>
      <c r="S805" s="307">
        <f t="shared" ca="1" si="369"/>
        <v>2.9792999999999985</v>
      </c>
      <c r="T805" s="304">
        <f t="shared" ca="1" si="349"/>
        <v>29.226932999999988</v>
      </c>
      <c r="U805" s="311">
        <f t="shared" ca="1" si="350"/>
        <v>0</v>
      </c>
      <c r="V805" s="306">
        <f t="shared" ca="1" si="351"/>
        <v>1.2264291791362885</v>
      </c>
      <c r="W805" s="304">
        <f t="shared" ca="1" si="352"/>
        <v>27.776406241971358</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0.46990511477912555</v>
      </c>
      <c r="AH805" s="304">
        <f t="shared" ca="1" si="376"/>
        <v>-9.3231135699500012</v>
      </c>
    </row>
    <row r="806" spans="1:34" x14ac:dyDescent="0.2">
      <c r="A806" s="347">
        <f t="shared" ca="1" si="354"/>
        <v>1E-4</v>
      </c>
      <c r="B806" s="304">
        <f t="shared" ca="1" si="355"/>
        <v>36.82860000000116</v>
      </c>
      <c r="D806" s="306">
        <f t="shared" ca="1" si="356"/>
        <v>-0.54832229730511595</v>
      </c>
      <c r="E806" s="307">
        <f t="shared" ca="1" si="357"/>
        <v>-0.50300654590551908</v>
      </c>
      <c r="F806" s="304">
        <f t="shared" ca="1" si="358"/>
        <v>0.74409201510684209</v>
      </c>
      <c r="G806" s="306">
        <f t="shared" ca="1" si="359"/>
        <v>6.1851550852099919</v>
      </c>
      <c r="H806" s="307">
        <f t="shared" ca="1" si="360"/>
        <v>-104.98521777740058</v>
      </c>
      <c r="I806" s="304">
        <f t="shared" ca="1" si="361"/>
        <v>105.1672577145393</v>
      </c>
      <c r="J806" s="306">
        <f t="shared" ca="1" si="362"/>
        <v>745.87074281998321</v>
      </c>
      <c r="K806" s="307">
        <f t="shared" ca="1" si="363"/>
        <v>-11.670465272140627</v>
      </c>
      <c r="L806" s="304">
        <f t="shared" ca="1" si="348"/>
        <v>745.96203975437095</v>
      </c>
      <c r="M806" s="306">
        <f t="shared" ca="1" si="364"/>
        <v>-1.5119498147049897</v>
      </c>
      <c r="N806" s="304">
        <f t="shared" ca="1" si="365"/>
        <v>-86.628343218182764</v>
      </c>
      <c r="P806" s="310">
        <f t="shared" ca="1" si="366"/>
        <v>23</v>
      </c>
      <c r="Q806" s="304">
        <f t="shared" ca="1" si="367"/>
        <v>0</v>
      </c>
      <c r="R806" s="306">
        <f t="shared" ca="1" si="368"/>
        <v>0</v>
      </c>
      <c r="S806" s="307">
        <f t="shared" ca="1" si="369"/>
        <v>2.9792999999999985</v>
      </c>
      <c r="T806" s="304">
        <f t="shared" ca="1" si="349"/>
        <v>29.226932999999988</v>
      </c>
      <c r="U806" s="311">
        <f t="shared" ca="1" si="350"/>
        <v>0</v>
      </c>
      <c r="V806" s="306">
        <f t="shared" ca="1" si="351"/>
        <v>1.2264304667064385</v>
      </c>
      <c r="W806" s="304">
        <f t="shared" ca="1" si="352"/>
        <v>27.7764602241581</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0.46988731194356959</v>
      </c>
      <c r="AH806" s="304">
        <f t="shared" ca="1" si="376"/>
        <v>-9.3231316893133869</v>
      </c>
    </row>
    <row r="807" spans="1:34" x14ac:dyDescent="0.2">
      <c r="A807" s="347">
        <f t="shared" ca="1" si="354"/>
        <v>1E-4</v>
      </c>
      <c r="B807" s="304">
        <f t="shared" ca="1" si="355"/>
        <v>36.828700000001163</v>
      </c>
      <c r="D807" s="306">
        <f t="shared" ca="1" si="356"/>
        <v>-0.5483182570387688</v>
      </c>
      <c r="E807" s="307">
        <f t="shared" ca="1" si="357"/>
        <v>-0.50298815737205516</v>
      </c>
      <c r="F807" s="304">
        <f t="shared" ca="1" si="358"/>
        <v>0.74407660725127533</v>
      </c>
      <c r="G807" s="306">
        <f t="shared" ca="1" si="359"/>
        <v>6.185100253384288</v>
      </c>
      <c r="H807" s="307">
        <f t="shared" ca="1" si="360"/>
        <v>-104.98526807621631</v>
      </c>
      <c r="I807" s="304">
        <f t="shared" ca="1" si="361"/>
        <v>105.16730470150607</v>
      </c>
      <c r="J807" s="306">
        <f t="shared" ca="1" si="362"/>
        <v>745.87074281998321</v>
      </c>
      <c r="K807" s="307">
        <f t="shared" ca="1" si="363"/>
        <v>-11.680963796433307</v>
      </c>
      <c r="L807" s="304">
        <f t="shared" ca="1" si="348"/>
        <v>745.96220407608268</v>
      </c>
      <c r="M807" s="306">
        <f t="shared" ca="1" si="364"/>
        <v>-1.511950363308153</v>
      </c>
      <c r="N807" s="304">
        <f t="shared" ca="1" si="365"/>
        <v>-86.628374650828647</v>
      </c>
      <c r="P807" s="310">
        <f t="shared" ca="1" si="366"/>
        <v>23</v>
      </c>
      <c r="Q807" s="304">
        <f t="shared" ca="1" si="367"/>
        <v>0</v>
      </c>
      <c r="R807" s="306">
        <f t="shared" ca="1" si="368"/>
        <v>0</v>
      </c>
      <c r="S807" s="307">
        <f t="shared" ca="1" si="369"/>
        <v>2.9792999999999985</v>
      </c>
      <c r="T807" s="304">
        <f t="shared" ca="1" si="349"/>
        <v>29.226932999999988</v>
      </c>
      <c r="U807" s="311">
        <f t="shared" ca="1" si="350"/>
        <v>0</v>
      </c>
      <c r="V807" s="306">
        <f t="shared" ca="1" si="351"/>
        <v>1.2264317542785577</v>
      </c>
      <c r="W807" s="304">
        <f t="shared" ca="1" si="352"/>
        <v>27.776514205512242</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0.46986950938143934</v>
      </c>
      <c r="AH807" s="304">
        <f t="shared" ca="1" si="376"/>
        <v>-9.3231498083973126</v>
      </c>
    </row>
    <row r="808" spans="1:34" x14ac:dyDescent="0.2">
      <c r="A808" s="347">
        <f t="shared" ca="1" si="354"/>
        <v>1E-4</v>
      </c>
      <c r="B808" s="304">
        <f t="shared" ca="1" si="355"/>
        <v>36.828800000001166</v>
      </c>
      <c r="D808" s="306">
        <f t="shared" ca="1" si="356"/>
        <v>-0.54831421678580206</v>
      </c>
      <c r="E808" s="307">
        <f t="shared" ca="1" si="357"/>
        <v>-0.50296976912213509</v>
      </c>
      <c r="F808" s="304">
        <f t="shared" ca="1" si="358"/>
        <v>0.7440611997545642</v>
      </c>
      <c r="G808" s="306">
        <f t="shared" ca="1" si="359"/>
        <v>6.1850454219626094</v>
      </c>
      <c r="H808" s="307">
        <f t="shared" ca="1" si="360"/>
        <v>-104.98531837319322</v>
      </c>
      <c r="I808" s="304">
        <f t="shared" ca="1" si="361"/>
        <v>105.1673516866926</v>
      </c>
      <c r="J808" s="306">
        <f t="shared" ca="1" si="362"/>
        <v>745.87074281998321</v>
      </c>
      <c r="K808" s="307">
        <f t="shared" ca="1" si="363"/>
        <v>-11.691462325755777</v>
      </c>
      <c r="L808" s="304">
        <f t="shared" ca="1" si="348"/>
        <v>745.96236854559106</v>
      </c>
      <c r="M808" s="306">
        <f t="shared" ca="1" si="364"/>
        <v>-1.5119509119059629</v>
      </c>
      <c r="N808" s="304">
        <f t="shared" ca="1" si="365"/>
        <v>-86.628406083167803</v>
      </c>
      <c r="P808" s="310">
        <f t="shared" ca="1" si="366"/>
        <v>23</v>
      </c>
      <c r="Q808" s="304">
        <f t="shared" ca="1" si="367"/>
        <v>0</v>
      </c>
      <c r="R808" s="306">
        <f t="shared" ca="1" si="368"/>
        <v>0</v>
      </c>
      <c r="S808" s="307">
        <f t="shared" ca="1" si="369"/>
        <v>2.9792999999999985</v>
      </c>
      <c r="T808" s="304">
        <f t="shared" ca="1" si="349"/>
        <v>29.226932999999988</v>
      </c>
      <c r="U808" s="311">
        <f t="shared" ca="1" si="350"/>
        <v>0</v>
      </c>
      <c r="V808" s="306">
        <f t="shared" ca="1" si="351"/>
        <v>1.2264330418526466</v>
      </c>
      <c r="W808" s="304">
        <f t="shared" ca="1" si="352"/>
        <v>27.77656818603382</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0.46985170709273127</v>
      </c>
      <c r="AH808" s="304">
        <f t="shared" ca="1" si="376"/>
        <v>-9.3231679272017782</v>
      </c>
    </row>
    <row r="809" spans="1:34" x14ac:dyDescent="0.2">
      <c r="A809" s="347">
        <f t="shared" ca="1" si="354"/>
        <v>1E-4</v>
      </c>
      <c r="B809" s="304">
        <f t="shared" ca="1" si="355"/>
        <v>36.82890000000117</v>
      </c>
      <c r="D809" s="306">
        <f t="shared" ca="1" si="356"/>
        <v>-0.54831017654621494</v>
      </c>
      <c r="E809" s="307">
        <f t="shared" ca="1" si="357"/>
        <v>-0.50295138115575178</v>
      </c>
      <c r="F809" s="304">
        <f t="shared" ca="1" si="358"/>
        <v>0.74404579261670423</v>
      </c>
      <c r="G809" s="306">
        <f t="shared" ca="1" si="359"/>
        <v>6.1849905909449552</v>
      </c>
      <c r="H809" s="307">
        <f t="shared" ca="1" si="360"/>
        <v>-104.98536866833133</v>
      </c>
      <c r="I809" s="304">
        <f t="shared" ca="1" si="361"/>
        <v>105.16739867009892</v>
      </c>
      <c r="J809" s="306">
        <f t="shared" ca="1" si="362"/>
        <v>745.87074281998321</v>
      </c>
      <c r="K809" s="307">
        <f t="shared" ca="1" si="363"/>
        <v>-11.701960860107853</v>
      </c>
      <c r="L809" s="304">
        <f t="shared" ca="1" si="348"/>
        <v>745.96253316289619</v>
      </c>
      <c r="M809" s="306">
        <f t="shared" ca="1" si="364"/>
        <v>-1.5119514604984192</v>
      </c>
      <c r="N809" s="304">
        <f t="shared" ca="1" si="365"/>
        <v>-86.628437515200218</v>
      </c>
      <c r="P809" s="310">
        <f t="shared" ca="1" si="366"/>
        <v>23</v>
      </c>
      <c r="Q809" s="304">
        <f t="shared" ca="1" si="367"/>
        <v>0</v>
      </c>
      <c r="R809" s="306">
        <f t="shared" ca="1" si="368"/>
        <v>0</v>
      </c>
      <c r="S809" s="307">
        <f t="shared" ca="1" si="369"/>
        <v>2.9792999999999985</v>
      </c>
      <c r="T809" s="304">
        <f t="shared" ca="1" si="349"/>
        <v>29.226932999999988</v>
      </c>
      <c r="U809" s="311">
        <f t="shared" ca="1" si="350"/>
        <v>0</v>
      </c>
      <c r="V809" s="306">
        <f t="shared" ca="1" si="351"/>
        <v>1.226434329428705</v>
      </c>
      <c r="W809" s="304">
        <f t="shared" ca="1" si="352"/>
        <v>27.776622165722831</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0.46983390507743827</v>
      </c>
      <c r="AH809" s="304">
        <f t="shared" ca="1" si="376"/>
        <v>-9.3231860457267928</v>
      </c>
    </row>
    <row r="810" spans="1:34" x14ac:dyDescent="0.2">
      <c r="A810" s="347">
        <f t="shared" ca="1" si="354"/>
        <v>1E-4</v>
      </c>
      <c r="B810" s="304">
        <f t="shared" ca="1" si="355"/>
        <v>36.829000000001173</v>
      </c>
      <c r="D810" s="306">
        <f t="shared" ca="1" si="356"/>
        <v>-0.54830613632000835</v>
      </c>
      <c r="E810" s="307">
        <f t="shared" ca="1" si="357"/>
        <v>-0.5029329934728981</v>
      </c>
      <c r="F810" s="304">
        <f t="shared" ca="1" si="358"/>
        <v>0.74403038583769265</v>
      </c>
      <c r="G810" s="306">
        <f t="shared" ca="1" si="359"/>
        <v>6.1849357603313235</v>
      </c>
      <c r="H810" s="307">
        <f t="shared" ca="1" si="360"/>
        <v>-104.98541896163069</v>
      </c>
      <c r="I810" s="304">
        <f t="shared" ca="1" si="361"/>
        <v>105.16744565172509</v>
      </c>
      <c r="J810" s="306">
        <f t="shared" ca="1" si="362"/>
        <v>745.87074281998321</v>
      </c>
      <c r="K810" s="307">
        <f t="shared" ca="1" si="363"/>
        <v>-11.712459399489351</v>
      </c>
      <c r="L810" s="304">
        <f t="shared" ca="1" si="348"/>
        <v>745.96269792799842</v>
      </c>
      <c r="M810" s="306">
        <f t="shared" ca="1" si="364"/>
        <v>-1.5119520090855221</v>
      </c>
      <c r="N810" s="304">
        <f t="shared" ca="1" si="365"/>
        <v>-86.628468946925921</v>
      </c>
      <c r="P810" s="310">
        <f t="shared" ca="1" si="366"/>
        <v>23</v>
      </c>
      <c r="Q810" s="304">
        <f t="shared" ca="1" si="367"/>
        <v>0</v>
      </c>
      <c r="R810" s="306">
        <f t="shared" ca="1" si="368"/>
        <v>0</v>
      </c>
      <c r="S810" s="307">
        <f t="shared" ca="1" si="369"/>
        <v>2.9792999999999985</v>
      </c>
      <c r="T810" s="304">
        <f t="shared" ca="1" si="349"/>
        <v>29.226932999999988</v>
      </c>
      <c r="U810" s="311">
        <f t="shared" ca="1" si="350"/>
        <v>0</v>
      </c>
      <c r="V810" s="306">
        <f t="shared" ca="1" si="351"/>
        <v>1.2264356170067328</v>
      </c>
      <c r="W810" s="304">
        <f t="shared" ca="1" si="352"/>
        <v>27.776676144579302</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0.46981610333556034</v>
      </c>
      <c r="AH810" s="304">
        <f t="shared" ca="1" si="376"/>
        <v>-9.323204163972358</v>
      </c>
    </row>
    <row r="811" spans="1:34" x14ac:dyDescent="0.2">
      <c r="A811" s="347">
        <f t="shared" ca="1" si="354"/>
        <v>1E-4</v>
      </c>
      <c r="B811" s="304">
        <f t="shared" ca="1" si="355"/>
        <v>36.829100000001176</v>
      </c>
      <c r="D811" s="306">
        <f t="shared" ca="1" si="356"/>
        <v>-0.54830209610718328</v>
      </c>
      <c r="E811" s="307">
        <f t="shared" ca="1" si="357"/>
        <v>-0.50291460607357408</v>
      </c>
      <c r="F811" s="304">
        <f t="shared" ca="1" si="358"/>
        <v>0.74401497941753103</v>
      </c>
      <c r="G811" s="306">
        <f t="shared" ca="1" si="359"/>
        <v>6.1848809301217127</v>
      </c>
      <c r="H811" s="307">
        <f t="shared" ca="1" si="360"/>
        <v>-104.9854692530913</v>
      </c>
      <c r="I811" s="304">
        <f t="shared" ca="1" si="361"/>
        <v>105.16749263157109</v>
      </c>
      <c r="J811" s="306">
        <f t="shared" ca="1" si="362"/>
        <v>745.87074281998321</v>
      </c>
      <c r="K811" s="307">
        <f t="shared" ca="1" si="363"/>
        <v>-11.722957943900086</v>
      </c>
      <c r="L811" s="304">
        <f t="shared" ca="1" si="348"/>
        <v>745.96286284089774</v>
      </c>
      <c r="M811" s="306">
        <f t="shared" ca="1" si="364"/>
        <v>-1.5119525576672714</v>
      </c>
      <c r="N811" s="304">
        <f t="shared" ca="1" si="365"/>
        <v>-86.628500378344867</v>
      </c>
      <c r="P811" s="310">
        <f t="shared" ca="1" si="366"/>
        <v>23</v>
      </c>
      <c r="Q811" s="304">
        <f t="shared" ca="1" si="367"/>
        <v>0</v>
      </c>
      <c r="R811" s="306">
        <f t="shared" ca="1" si="368"/>
        <v>0</v>
      </c>
      <c r="S811" s="307">
        <f t="shared" ca="1" si="369"/>
        <v>2.9792999999999985</v>
      </c>
      <c r="T811" s="304">
        <f t="shared" ca="1" si="349"/>
        <v>29.226932999999988</v>
      </c>
      <c r="U811" s="311">
        <f t="shared" ca="1" si="350"/>
        <v>0</v>
      </c>
      <c r="V811" s="306">
        <f t="shared" ca="1" si="351"/>
        <v>1.2264369045867298</v>
      </c>
      <c r="W811" s="304">
        <f t="shared" ca="1" si="352"/>
        <v>27.776730122603222</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0.46979830186708682</v>
      </c>
      <c r="AH811" s="304">
        <f t="shared" ca="1" si="376"/>
        <v>-9.3232222819384809</v>
      </c>
    </row>
    <row r="812" spans="1:34" x14ac:dyDescent="0.2">
      <c r="A812" s="347">
        <f t="shared" ca="1" si="354"/>
        <v>1E-4</v>
      </c>
      <c r="B812" s="304">
        <f t="shared" ca="1" si="355"/>
        <v>36.82920000000118</v>
      </c>
      <c r="D812" s="306">
        <f t="shared" ca="1" si="356"/>
        <v>-0.54829805590774061</v>
      </c>
      <c r="E812" s="307">
        <f t="shared" ca="1" si="357"/>
        <v>-0.50289621895777437</v>
      </c>
      <c r="F812" s="304">
        <f t="shared" ca="1" si="358"/>
        <v>0.74399957335621747</v>
      </c>
      <c r="G812" s="306">
        <f t="shared" ca="1" si="359"/>
        <v>6.1848261003161218</v>
      </c>
      <c r="H812" s="307">
        <f t="shared" ca="1" si="360"/>
        <v>-104.98551954271319</v>
      </c>
      <c r="I812" s="304">
        <f t="shared" ca="1" si="361"/>
        <v>105.16753960963699</v>
      </c>
      <c r="J812" s="306">
        <f t="shared" ca="1" si="362"/>
        <v>745.87074281998321</v>
      </c>
      <c r="K812" s="307">
        <f t="shared" ca="1" si="363"/>
        <v>-11.733456493339876</v>
      </c>
      <c r="L812" s="304">
        <f t="shared" ca="1" si="348"/>
        <v>745.96302790159427</v>
      </c>
      <c r="M812" s="306">
        <f t="shared" ca="1" si="364"/>
        <v>-1.5119531062436675</v>
      </c>
      <c r="N812" s="304">
        <f t="shared" ca="1" si="365"/>
        <v>-86.628531809457101</v>
      </c>
      <c r="P812" s="310">
        <f t="shared" ca="1" si="366"/>
        <v>23</v>
      </c>
      <c r="Q812" s="304">
        <f t="shared" ca="1" si="367"/>
        <v>0</v>
      </c>
      <c r="R812" s="306">
        <f t="shared" ca="1" si="368"/>
        <v>0</v>
      </c>
      <c r="S812" s="307">
        <f t="shared" ca="1" si="369"/>
        <v>2.9792999999999985</v>
      </c>
      <c r="T812" s="304">
        <f t="shared" ca="1" si="349"/>
        <v>29.226932999999988</v>
      </c>
      <c r="U812" s="311">
        <f t="shared" ca="1" si="350"/>
        <v>0</v>
      </c>
      <c r="V812" s="306">
        <f t="shared" ca="1" si="351"/>
        <v>1.2264381921686964</v>
      </c>
      <c r="W812" s="304">
        <f t="shared" ca="1" si="352"/>
        <v>27.776784099794618</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0.46978050067202304</v>
      </c>
      <c r="AH812" s="304">
        <f t="shared" ca="1" si="376"/>
        <v>-9.3232403996251598</v>
      </c>
    </row>
    <row r="813" spans="1:34" x14ac:dyDescent="0.2">
      <c r="A813" s="347">
        <f t="shared" ca="1" si="354"/>
        <v>1E-4</v>
      </c>
      <c r="B813" s="304">
        <f t="shared" ca="1" si="355"/>
        <v>36.829300000001183</v>
      </c>
      <c r="D813" s="306">
        <f t="shared" ca="1" si="356"/>
        <v>-0.54829401572167935</v>
      </c>
      <c r="E813" s="307">
        <f t="shared" ca="1" si="357"/>
        <v>-0.50287783212549719</v>
      </c>
      <c r="F813" s="304">
        <f t="shared" ca="1" si="358"/>
        <v>0.74398416765375119</v>
      </c>
      <c r="G813" s="306">
        <f t="shared" ca="1" si="359"/>
        <v>6.1847712709145499</v>
      </c>
      <c r="H813" s="307">
        <f t="shared" ca="1" si="360"/>
        <v>-104.9855698304964</v>
      </c>
      <c r="I813" s="304">
        <f t="shared" ca="1" si="361"/>
        <v>105.16758658592278</v>
      </c>
      <c r="J813" s="306">
        <f t="shared" ca="1" si="362"/>
        <v>745.87074281998321</v>
      </c>
      <c r="K813" s="307">
        <f t="shared" ca="1" si="363"/>
        <v>-11.743955047808537</v>
      </c>
      <c r="L813" s="304">
        <f t="shared" ca="1" si="348"/>
        <v>745.96319311008801</v>
      </c>
      <c r="M813" s="306">
        <f t="shared" ca="1" si="364"/>
        <v>-1.5119536548147103</v>
      </c>
      <c r="N813" s="304">
        <f t="shared" ca="1" si="365"/>
        <v>-86.628563240262622</v>
      </c>
      <c r="P813" s="310">
        <f t="shared" ca="1" si="366"/>
        <v>23</v>
      </c>
      <c r="Q813" s="304">
        <f t="shared" ca="1" si="367"/>
        <v>0</v>
      </c>
      <c r="R813" s="306">
        <f t="shared" ca="1" si="368"/>
        <v>0</v>
      </c>
      <c r="S813" s="307">
        <f t="shared" ca="1" si="369"/>
        <v>2.9792999999999985</v>
      </c>
      <c r="T813" s="304">
        <f t="shared" ca="1" si="349"/>
        <v>29.226932999999988</v>
      </c>
      <c r="U813" s="311">
        <f t="shared" ca="1" si="350"/>
        <v>0</v>
      </c>
      <c r="V813" s="306">
        <f t="shared" ca="1" si="351"/>
        <v>1.2264394797526319</v>
      </c>
      <c r="W813" s="304">
        <f t="shared" ca="1" si="352"/>
        <v>27.776838076153474</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0.46976269975036189</v>
      </c>
      <c r="AH813" s="304">
        <f t="shared" ca="1" si="376"/>
        <v>-9.3232585170324001</v>
      </c>
    </row>
    <row r="814" spans="1:34" x14ac:dyDescent="0.2">
      <c r="A814" s="347">
        <f t="shared" ca="1" si="354"/>
        <v>1E-4</v>
      </c>
      <c r="B814" s="304">
        <f t="shared" ca="1" si="355"/>
        <v>36.829400000001186</v>
      </c>
      <c r="D814" s="306">
        <f t="shared" ca="1" si="356"/>
        <v>-0.54828997554900005</v>
      </c>
      <c r="E814" s="307">
        <f t="shared" ca="1" si="357"/>
        <v>-0.50285944557674256</v>
      </c>
      <c r="F814" s="304">
        <f t="shared" ca="1" si="358"/>
        <v>0.74396876231013365</v>
      </c>
      <c r="G814" s="306">
        <f t="shared" ca="1" si="359"/>
        <v>6.1847164419169953</v>
      </c>
      <c r="H814" s="307">
        <f t="shared" ca="1" si="360"/>
        <v>-104.98562011644096</v>
      </c>
      <c r="I814" s="304">
        <f t="shared" ca="1" si="361"/>
        <v>105.16763356042851</v>
      </c>
      <c r="J814" s="306">
        <f t="shared" ca="1" si="362"/>
        <v>745.87074281998321</v>
      </c>
      <c r="K814" s="307">
        <f t="shared" ca="1" si="363"/>
        <v>-11.754453607305884</v>
      </c>
      <c r="L814" s="304">
        <f t="shared" ca="1" si="348"/>
        <v>745.96335846637919</v>
      </c>
      <c r="M814" s="306">
        <f t="shared" ca="1" si="364"/>
        <v>-1.5119542033803999</v>
      </c>
      <c r="N814" s="304">
        <f t="shared" ca="1" si="365"/>
        <v>-86.628594670761416</v>
      </c>
      <c r="P814" s="310">
        <f t="shared" ca="1" si="366"/>
        <v>23</v>
      </c>
      <c r="Q814" s="304">
        <f t="shared" ca="1" si="367"/>
        <v>0</v>
      </c>
      <c r="R814" s="306">
        <f t="shared" ca="1" si="368"/>
        <v>0</v>
      </c>
      <c r="S814" s="307">
        <f t="shared" ca="1" si="369"/>
        <v>2.9792999999999985</v>
      </c>
      <c r="T814" s="304">
        <f t="shared" ca="1" si="349"/>
        <v>29.226932999999988</v>
      </c>
      <c r="U814" s="311">
        <f t="shared" ca="1" si="350"/>
        <v>0</v>
      </c>
      <c r="V814" s="306">
        <f t="shared" ca="1" si="351"/>
        <v>1.2264407673385371</v>
      </c>
      <c r="W814" s="304">
        <f t="shared" ca="1" si="352"/>
        <v>27.776892051679837</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0.46974489910210337</v>
      </c>
      <c r="AH814" s="304">
        <f t="shared" ca="1" si="376"/>
        <v>-9.3232766341602016</v>
      </c>
    </row>
    <row r="815" spans="1:34" x14ac:dyDescent="0.2">
      <c r="A815" s="347">
        <f t="shared" ca="1" si="354"/>
        <v>1E-4</v>
      </c>
      <c r="B815" s="304">
        <f t="shared" ca="1" si="355"/>
        <v>36.82950000000119</v>
      </c>
      <c r="D815" s="306">
        <f t="shared" ca="1" si="356"/>
        <v>-0.54828593538970438</v>
      </c>
      <c r="E815" s="307">
        <f t="shared" ca="1" si="357"/>
        <v>-0.50284105931149803</v>
      </c>
      <c r="F815" s="304">
        <f t="shared" ca="1" si="358"/>
        <v>0.7439533573253585</v>
      </c>
      <c r="G815" s="306">
        <f t="shared" ca="1" si="359"/>
        <v>6.1846616133234562</v>
      </c>
      <c r="H815" s="307">
        <f t="shared" ca="1" si="360"/>
        <v>-104.98567040054688</v>
      </c>
      <c r="I815" s="304">
        <f t="shared" ca="1" si="361"/>
        <v>105.16768053315421</v>
      </c>
      <c r="J815" s="306">
        <f t="shared" ca="1" si="362"/>
        <v>745.87074281998321</v>
      </c>
      <c r="K815" s="307">
        <f t="shared" ca="1" si="363"/>
        <v>-11.764952171831734</v>
      </c>
      <c r="L815" s="304">
        <f t="shared" ca="1" si="348"/>
        <v>745.96352397046803</v>
      </c>
      <c r="M815" s="306">
        <f t="shared" ca="1" si="364"/>
        <v>-1.5119547519407364</v>
      </c>
      <c r="N815" s="304">
        <f t="shared" ca="1" si="365"/>
        <v>-86.628626100953511</v>
      </c>
      <c r="P815" s="310">
        <f t="shared" ca="1" si="366"/>
        <v>23</v>
      </c>
      <c r="Q815" s="304">
        <f t="shared" ca="1" si="367"/>
        <v>0</v>
      </c>
      <c r="R815" s="306">
        <f t="shared" ca="1" si="368"/>
        <v>0</v>
      </c>
      <c r="S815" s="307">
        <f t="shared" ca="1" si="369"/>
        <v>2.9792999999999985</v>
      </c>
      <c r="T815" s="304">
        <f t="shared" ca="1" si="349"/>
        <v>29.226932999999988</v>
      </c>
      <c r="U815" s="311">
        <f t="shared" ca="1" si="350"/>
        <v>0</v>
      </c>
      <c r="V815" s="306">
        <f t="shared" ca="1" si="351"/>
        <v>1.2264420549264112</v>
      </c>
      <c r="W815" s="304">
        <f t="shared" ca="1" si="352"/>
        <v>27.776946026373679</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0.46972709872723684</v>
      </c>
      <c r="AH815" s="304">
        <f t="shared" ca="1" si="376"/>
        <v>-9.3232947510085769</v>
      </c>
    </row>
    <row r="816" spans="1:34" x14ac:dyDescent="0.2">
      <c r="A816" s="347">
        <f t="shared" ca="1" si="354"/>
        <v>1E-4</v>
      </c>
      <c r="B816" s="304">
        <f t="shared" ca="1" si="355"/>
        <v>36.829600000001193</v>
      </c>
      <c r="D816" s="306">
        <f t="shared" ca="1" si="356"/>
        <v>-0.54828189524379034</v>
      </c>
      <c r="E816" s="307">
        <f t="shared" ca="1" si="357"/>
        <v>-0.50282267332977426</v>
      </c>
      <c r="F816" s="304">
        <f t="shared" ca="1" si="358"/>
        <v>0.74393795269943286</v>
      </c>
      <c r="G816" s="306">
        <f t="shared" ca="1" si="359"/>
        <v>6.1846067851339317</v>
      </c>
      <c r="H816" s="307">
        <f t="shared" ca="1" si="360"/>
        <v>-104.98572068281422</v>
      </c>
      <c r="I816" s="304">
        <f t="shared" ca="1" si="361"/>
        <v>105.16772750409989</v>
      </c>
      <c r="J816" s="306">
        <f t="shared" ca="1" si="362"/>
        <v>745.87074281998321</v>
      </c>
      <c r="K816" s="307">
        <f t="shared" ca="1" si="363"/>
        <v>-11.775450741385901</v>
      </c>
      <c r="L816" s="304">
        <f t="shared" ca="1" si="348"/>
        <v>745.96368962235442</v>
      </c>
      <c r="M816" s="306">
        <f t="shared" ca="1" si="364"/>
        <v>-1.5119553004957196</v>
      </c>
      <c r="N816" s="304">
        <f t="shared" ca="1" si="365"/>
        <v>-86.628657530838879</v>
      </c>
      <c r="P816" s="310">
        <f t="shared" ca="1" si="366"/>
        <v>23</v>
      </c>
      <c r="Q816" s="304">
        <f t="shared" ca="1" si="367"/>
        <v>0</v>
      </c>
      <c r="R816" s="306">
        <f t="shared" ca="1" si="368"/>
        <v>0</v>
      </c>
      <c r="S816" s="307">
        <f t="shared" ca="1" si="369"/>
        <v>2.9792999999999985</v>
      </c>
      <c r="T816" s="304">
        <f t="shared" ca="1" si="349"/>
        <v>29.226932999999988</v>
      </c>
      <c r="U816" s="311">
        <f t="shared" ca="1" si="350"/>
        <v>0</v>
      </c>
      <c r="V816" s="306">
        <f t="shared" ca="1" si="351"/>
        <v>1.2264433425162549</v>
      </c>
      <c r="W816" s="304">
        <f t="shared" ca="1" si="352"/>
        <v>27.777000000235038</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0.46970929862577115</v>
      </c>
      <c r="AH816" s="304">
        <f t="shared" ca="1" si="376"/>
        <v>-9.3233128675775152</v>
      </c>
    </row>
    <row r="817" spans="1:34" x14ac:dyDescent="0.2">
      <c r="A817" s="347">
        <f t="shared" ca="1" si="354"/>
        <v>1E-4</v>
      </c>
      <c r="B817" s="304">
        <f t="shared" ca="1" si="355"/>
        <v>36.829700000001196</v>
      </c>
      <c r="D817" s="306">
        <f t="shared" ca="1" si="356"/>
        <v>-0.54827785511126159</v>
      </c>
      <c r="E817" s="307">
        <f t="shared" ca="1" si="357"/>
        <v>-0.50280428763155349</v>
      </c>
      <c r="F817" s="304">
        <f t="shared" ca="1" si="358"/>
        <v>0.74392254843234817</v>
      </c>
      <c r="G817" s="306">
        <f t="shared" ca="1" si="359"/>
        <v>6.1845519573484209</v>
      </c>
      <c r="H817" s="307">
        <f t="shared" ca="1" si="360"/>
        <v>-104.98577096324298</v>
      </c>
      <c r="I817" s="304">
        <f t="shared" ca="1" si="361"/>
        <v>105.16777447326561</v>
      </c>
      <c r="J817" s="306">
        <f t="shared" ca="1" si="362"/>
        <v>745.87074281998321</v>
      </c>
      <c r="K817" s="307">
        <f t="shared" ca="1" si="363"/>
        <v>-11.785949315968205</v>
      </c>
      <c r="L817" s="304">
        <f t="shared" ca="1" si="348"/>
        <v>745.96385542203859</v>
      </c>
      <c r="M817" s="306">
        <f t="shared" ca="1" si="364"/>
        <v>-1.51195584904535</v>
      </c>
      <c r="N817" s="304">
        <f t="shared" ca="1" si="365"/>
        <v>-86.628688960417549</v>
      </c>
      <c r="P817" s="310">
        <f t="shared" ca="1" si="366"/>
        <v>23</v>
      </c>
      <c r="Q817" s="304">
        <f t="shared" ca="1" si="367"/>
        <v>0</v>
      </c>
      <c r="R817" s="306">
        <f t="shared" ca="1" si="368"/>
        <v>0</v>
      </c>
      <c r="S817" s="307">
        <f t="shared" ca="1" si="369"/>
        <v>2.9792999999999985</v>
      </c>
      <c r="T817" s="304">
        <f t="shared" ca="1" si="349"/>
        <v>29.226932999999988</v>
      </c>
      <c r="U817" s="311">
        <f t="shared" ca="1" si="350"/>
        <v>0</v>
      </c>
      <c r="V817" s="306">
        <f t="shared" ca="1" si="351"/>
        <v>1.2264446301080678</v>
      </c>
      <c r="W817" s="304">
        <f t="shared" ca="1" si="352"/>
        <v>27.777053973263929</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0.46969149879769212</v>
      </c>
      <c r="AH817" s="304">
        <f t="shared" ca="1" si="376"/>
        <v>-9.3233309838670326</v>
      </c>
    </row>
    <row r="818" spans="1:34" x14ac:dyDescent="0.2">
      <c r="A818" s="347">
        <f t="shared" ca="1" si="354"/>
        <v>1E-4</v>
      </c>
      <c r="B818" s="304">
        <f t="shared" ca="1" si="355"/>
        <v>36.8298000000012</v>
      </c>
      <c r="D818" s="306">
        <f t="shared" ca="1" si="356"/>
        <v>-0.54827381499211514</v>
      </c>
      <c r="E818" s="307">
        <f t="shared" ca="1" si="357"/>
        <v>-0.50278590221683395</v>
      </c>
      <c r="F818" s="304">
        <f t="shared" ca="1" si="358"/>
        <v>0.74390714452410245</v>
      </c>
      <c r="G818" s="306">
        <f t="shared" ca="1" si="359"/>
        <v>6.184497129966922</v>
      </c>
      <c r="H818" s="307">
        <f t="shared" ca="1" si="360"/>
        <v>-104.98582124183321</v>
      </c>
      <c r="I818" s="304">
        <f t="shared" ca="1" si="361"/>
        <v>105.16782144065135</v>
      </c>
      <c r="J818" s="306">
        <f t="shared" ca="1" si="362"/>
        <v>745.87074281998321</v>
      </c>
      <c r="K818" s="307">
        <f t="shared" ca="1" si="363"/>
        <v>-11.796447895578458</v>
      </c>
      <c r="L818" s="304">
        <f t="shared" ca="1" si="348"/>
        <v>745.96402136952054</v>
      </c>
      <c r="M818" s="306">
        <f t="shared" ca="1" si="364"/>
        <v>-1.5119563975896273</v>
      </c>
      <c r="N818" s="304">
        <f t="shared" ca="1" si="365"/>
        <v>-86.628720389689519</v>
      </c>
      <c r="P818" s="310">
        <f t="shared" ca="1" si="366"/>
        <v>23</v>
      </c>
      <c r="Q818" s="304">
        <f t="shared" ca="1" si="367"/>
        <v>0</v>
      </c>
      <c r="R818" s="306">
        <f t="shared" ca="1" si="368"/>
        <v>0</v>
      </c>
      <c r="S818" s="307">
        <f t="shared" ca="1" si="369"/>
        <v>2.9792999999999985</v>
      </c>
      <c r="T818" s="304">
        <f t="shared" ca="1" si="349"/>
        <v>29.226932999999988</v>
      </c>
      <c r="U818" s="311">
        <f t="shared" ca="1" si="350"/>
        <v>0</v>
      </c>
      <c r="V818" s="306">
        <f t="shared" ca="1" si="351"/>
        <v>1.2264459177018501</v>
      </c>
      <c r="W818" s="304">
        <f t="shared" ca="1" si="352"/>
        <v>27.777107945460326</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0.4696736992429944</v>
      </c>
      <c r="AH818" s="304">
        <f t="shared" ca="1" si="376"/>
        <v>-9.3233490998771327</v>
      </c>
    </row>
    <row r="819" spans="1:34" x14ac:dyDescent="0.2">
      <c r="A819" s="347">
        <f t="shared" ca="1" si="354"/>
        <v>1E-4</v>
      </c>
      <c r="B819" s="304">
        <f t="shared" ca="1" si="355"/>
        <v>36.829900000001203</v>
      </c>
      <c r="D819" s="306">
        <f t="shared" ca="1" si="356"/>
        <v>-0.5482697748863532</v>
      </c>
      <c r="E819" s="307">
        <f t="shared" ca="1" si="357"/>
        <v>-0.50276751708562273</v>
      </c>
      <c r="F819" s="304">
        <f t="shared" ca="1" si="358"/>
        <v>0.74389174097470279</v>
      </c>
      <c r="G819" s="306">
        <f t="shared" ca="1" si="359"/>
        <v>6.1844423029894333</v>
      </c>
      <c r="H819" s="307">
        <f t="shared" ca="1" si="360"/>
        <v>-104.98587151858491</v>
      </c>
      <c r="I819" s="304">
        <f t="shared" ca="1" si="361"/>
        <v>105.16786840625717</v>
      </c>
      <c r="J819" s="306">
        <f t="shared" ca="1" si="362"/>
        <v>745.87074281998321</v>
      </c>
      <c r="K819" s="307">
        <f t="shared" ca="1" si="363"/>
        <v>-11.80694648021648</v>
      </c>
      <c r="L819" s="304">
        <f t="shared" ca="1" si="348"/>
        <v>745.9641874648006</v>
      </c>
      <c r="M819" s="306">
        <f t="shared" ca="1" si="364"/>
        <v>-1.5119569461285516</v>
      </c>
      <c r="N819" s="304">
        <f t="shared" ca="1" si="365"/>
        <v>-86.628751818654777</v>
      </c>
      <c r="P819" s="310">
        <f t="shared" ca="1" si="366"/>
        <v>23</v>
      </c>
      <c r="Q819" s="304">
        <f t="shared" ca="1" si="367"/>
        <v>0</v>
      </c>
      <c r="R819" s="306">
        <f t="shared" ca="1" si="368"/>
        <v>0</v>
      </c>
      <c r="S819" s="307">
        <f t="shared" ca="1" si="369"/>
        <v>2.9792999999999985</v>
      </c>
      <c r="T819" s="304">
        <f t="shared" ca="1" si="349"/>
        <v>29.226932999999988</v>
      </c>
      <c r="U819" s="311">
        <f t="shared" ca="1" si="350"/>
        <v>0</v>
      </c>
      <c r="V819" s="306">
        <f t="shared" ca="1" si="351"/>
        <v>1.2264472052976014</v>
      </c>
      <c r="W819" s="304">
        <f t="shared" ca="1" si="352"/>
        <v>27.777161916824276</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0.46965589996168866</v>
      </c>
      <c r="AH819" s="304">
        <f t="shared" ca="1" si="376"/>
        <v>-9.3233672156078065</v>
      </c>
    </row>
    <row r="820" spans="1:34" x14ac:dyDescent="0.2">
      <c r="A820" s="347">
        <f t="shared" ca="1" si="354"/>
        <v>1E-4</v>
      </c>
      <c r="B820" s="304">
        <f t="shared" ca="1" si="355"/>
        <v>36.830000000001206</v>
      </c>
      <c r="D820" s="306">
        <f t="shared" ca="1" si="356"/>
        <v>-0.54826573479397744</v>
      </c>
      <c r="E820" s="307">
        <f t="shared" ca="1" si="357"/>
        <v>-0.50274913223790385</v>
      </c>
      <c r="F820" s="304">
        <f t="shared" ca="1" si="358"/>
        <v>0.74387633778414097</v>
      </c>
      <c r="G820" s="306">
        <f t="shared" ca="1" si="359"/>
        <v>6.1843874764159539</v>
      </c>
      <c r="H820" s="307">
        <f t="shared" ca="1" si="360"/>
        <v>-104.98592179349814</v>
      </c>
      <c r="I820" s="304">
        <f t="shared" ca="1" si="361"/>
        <v>105.16791537008308</v>
      </c>
      <c r="J820" s="306">
        <f t="shared" ca="1" si="362"/>
        <v>745.87074281998321</v>
      </c>
      <c r="K820" s="307">
        <f t="shared" ca="1" si="363"/>
        <v>-11.817445069882083</v>
      </c>
      <c r="L820" s="304">
        <f t="shared" ca="1" si="348"/>
        <v>745.96435370787879</v>
      </c>
      <c r="M820" s="306">
        <f t="shared" ca="1" si="364"/>
        <v>-1.5119574946621233</v>
      </c>
      <c r="N820" s="304">
        <f t="shared" ca="1" si="365"/>
        <v>-86.628783247313351</v>
      </c>
      <c r="P820" s="310">
        <f t="shared" ca="1" si="366"/>
        <v>23</v>
      </c>
      <c r="Q820" s="304">
        <f t="shared" ca="1" si="367"/>
        <v>0</v>
      </c>
      <c r="R820" s="306">
        <f t="shared" ca="1" si="368"/>
        <v>0</v>
      </c>
      <c r="S820" s="307">
        <f t="shared" ca="1" si="369"/>
        <v>2.9792999999999985</v>
      </c>
      <c r="T820" s="304">
        <f t="shared" ca="1" si="349"/>
        <v>29.226932999999988</v>
      </c>
      <c r="U820" s="311">
        <f t="shared" ca="1" si="350"/>
        <v>0</v>
      </c>
      <c r="V820" s="306">
        <f t="shared" ca="1" si="351"/>
        <v>1.2264484928953219</v>
      </c>
      <c r="W820" s="304">
        <f t="shared" ca="1" si="352"/>
        <v>27.777215887355755</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0.46963810095375713</v>
      </c>
      <c r="AH820" s="304">
        <f t="shared" ca="1" si="376"/>
        <v>-9.3233853310590717</v>
      </c>
    </row>
    <row r="821" spans="1:34" x14ac:dyDescent="0.2">
      <c r="A821" s="347">
        <f t="shared" ca="1" si="354"/>
        <v>1E-4</v>
      </c>
      <c r="B821" s="304">
        <f t="shared" ca="1" si="355"/>
        <v>36.83010000000121</v>
      </c>
      <c r="D821" s="306">
        <f t="shared" ca="1" si="356"/>
        <v>-0.54826169471498409</v>
      </c>
      <c r="E821" s="307">
        <f t="shared" ca="1" si="357"/>
        <v>-0.50273074767368975</v>
      </c>
      <c r="F821" s="304">
        <f t="shared" ca="1" si="358"/>
        <v>0.74386093495242345</v>
      </c>
      <c r="G821" s="306">
        <f t="shared" ca="1" si="359"/>
        <v>6.1843326502464828</v>
      </c>
      <c r="H821" s="307">
        <f t="shared" ca="1" si="360"/>
        <v>-104.9859720665729</v>
      </c>
      <c r="I821" s="304">
        <f t="shared" ca="1" si="361"/>
        <v>105.16796233212912</v>
      </c>
      <c r="J821" s="306">
        <f t="shared" ca="1" si="362"/>
        <v>745.87074281998321</v>
      </c>
      <c r="K821" s="307">
        <f t="shared" ca="1" si="363"/>
        <v>-11.827943664575088</v>
      </c>
      <c r="L821" s="304">
        <f t="shared" ca="1" si="348"/>
        <v>745.96452009875497</v>
      </c>
      <c r="M821" s="306">
        <f t="shared" ca="1" si="364"/>
        <v>-1.5119580431903421</v>
      </c>
      <c r="N821" s="304">
        <f t="shared" ca="1" si="365"/>
        <v>-86.62881467566524</v>
      </c>
      <c r="P821" s="310">
        <f t="shared" ca="1" si="366"/>
        <v>23</v>
      </c>
      <c r="Q821" s="304">
        <f t="shared" ca="1" si="367"/>
        <v>0</v>
      </c>
      <c r="R821" s="306">
        <f t="shared" ca="1" si="368"/>
        <v>0</v>
      </c>
      <c r="S821" s="307">
        <f t="shared" ca="1" si="369"/>
        <v>2.9792999999999985</v>
      </c>
      <c r="T821" s="304">
        <f t="shared" ca="1" si="349"/>
        <v>29.226932999999988</v>
      </c>
      <c r="U821" s="311">
        <f t="shared" ca="1" si="350"/>
        <v>0</v>
      </c>
      <c r="V821" s="306">
        <f t="shared" ca="1" si="351"/>
        <v>1.2264497804950116</v>
      </c>
      <c r="W821" s="304">
        <f t="shared" ca="1" si="352"/>
        <v>27.777269857054804</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0.46962030221921225</v>
      </c>
      <c r="AH821" s="304">
        <f t="shared" ca="1" si="376"/>
        <v>-9.3234034462309161</v>
      </c>
    </row>
    <row r="822" spans="1:34" x14ac:dyDescent="0.2">
      <c r="A822" s="347">
        <f t="shared" ca="1" si="354"/>
        <v>1E-4</v>
      </c>
      <c r="B822" s="304">
        <f t="shared" ca="1" si="355"/>
        <v>36.830200000001213</v>
      </c>
      <c r="D822" s="306">
        <f t="shared" ca="1" si="356"/>
        <v>-0.5482576546493767</v>
      </c>
      <c r="E822" s="307">
        <f t="shared" ca="1" si="357"/>
        <v>-0.50271236339295911</v>
      </c>
      <c r="F822" s="304">
        <f t="shared" ca="1" si="358"/>
        <v>0.74384553247953955</v>
      </c>
      <c r="G822" s="306">
        <f t="shared" ca="1" si="359"/>
        <v>6.1842778244810175</v>
      </c>
      <c r="H822" s="307">
        <f t="shared" ca="1" si="360"/>
        <v>-104.98602233780923</v>
      </c>
      <c r="I822" s="304">
        <f t="shared" ca="1" si="361"/>
        <v>105.16800929239531</v>
      </c>
      <c r="J822" s="306">
        <f t="shared" ca="1" si="362"/>
        <v>745.87074281998321</v>
      </c>
      <c r="K822" s="307">
        <f t="shared" ca="1" si="363"/>
        <v>-11.838442264295306</v>
      </c>
      <c r="L822" s="304">
        <f t="shared" ca="1" si="348"/>
        <v>745.96468663742962</v>
      </c>
      <c r="M822" s="306">
        <f t="shared" ca="1" si="364"/>
        <v>-1.5119585917132081</v>
      </c>
      <c r="N822" s="304">
        <f t="shared" ca="1" si="365"/>
        <v>-86.62884610371043</v>
      </c>
      <c r="P822" s="310">
        <f t="shared" ca="1" si="366"/>
        <v>23</v>
      </c>
      <c r="Q822" s="304">
        <f t="shared" ca="1" si="367"/>
        <v>0</v>
      </c>
      <c r="R822" s="306">
        <f t="shared" ca="1" si="368"/>
        <v>0</v>
      </c>
      <c r="S822" s="307">
        <f t="shared" ca="1" si="369"/>
        <v>2.9792999999999985</v>
      </c>
      <c r="T822" s="304">
        <f t="shared" ca="1" si="349"/>
        <v>29.226932999999988</v>
      </c>
      <c r="U822" s="311">
        <f t="shared" ca="1" si="350"/>
        <v>0</v>
      </c>
      <c r="V822" s="306">
        <f t="shared" ca="1" si="351"/>
        <v>1.2264510680966705</v>
      </c>
      <c r="W822" s="304">
        <f t="shared" ca="1" si="352"/>
        <v>27.777323825921407</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0.46960250375803625</v>
      </c>
      <c r="AH822" s="304">
        <f t="shared" ca="1" si="376"/>
        <v>-9.3234215611233573</v>
      </c>
    </row>
    <row r="823" spans="1:34" x14ac:dyDescent="0.2">
      <c r="A823" s="347">
        <f t="shared" ca="1" si="354"/>
        <v>1E-4</v>
      </c>
      <c r="B823" s="304">
        <f t="shared" ca="1" si="355"/>
        <v>36.830300000001216</v>
      </c>
      <c r="D823" s="306">
        <f t="shared" ca="1" si="356"/>
        <v>-0.54825361459715571</v>
      </c>
      <c r="E823" s="307">
        <f t="shared" ca="1" si="357"/>
        <v>-0.50269397939572436</v>
      </c>
      <c r="F823" s="304">
        <f t="shared" ca="1" si="358"/>
        <v>0.74383013036549916</v>
      </c>
      <c r="G823" s="306">
        <f t="shared" ca="1" si="359"/>
        <v>6.1842229991195579</v>
      </c>
      <c r="H823" s="307">
        <f t="shared" ca="1" si="360"/>
        <v>-104.98607260720718</v>
      </c>
      <c r="I823" s="304">
        <f t="shared" ca="1" si="361"/>
        <v>105.16805625088169</v>
      </c>
      <c r="J823" s="306">
        <f t="shared" ca="1" si="362"/>
        <v>745.87074281998321</v>
      </c>
      <c r="K823" s="307">
        <f t="shared" ca="1" si="363"/>
        <v>-11.848940869042558</v>
      </c>
      <c r="L823" s="304">
        <f t="shared" ca="1" si="348"/>
        <v>745.96485332390262</v>
      </c>
      <c r="M823" s="306">
        <f t="shared" ca="1" si="364"/>
        <v>-1.5119591402307215</v>
      </c>
      <c r="N823" s="304">
        <f t="shared" ca="1" si="365"/>
        <v>-86.628877531448936</v>
      </c>
      <c r="P823" s="310">
        <f t="shared" ca="1" si="366"/>
        <v>23</v>
      </c>
      <c r="Q823" s="304">
        <f t="shared" ca="1" si="367"/>
        <v>0</v>
      </c>
      <c r="R823" s="306">
        <f t="shared" ca="1" si="368"/>
        <v>0</v>
      </c>
      <c r="S823" s="307">
        <f t="shared" ca="1" si="369"/>
        <v>2.9792999999999985</v>
      </c>
      <c r="T823" s="304">
        <f t="shared" ca="1" si="349"/>
        <v>29.226932999999988</v>
      </c>
      <c r="U823" s="311">
        <f t="shared" ca="1" si="350"/>
        <v>0</v>
      </c>
      <c r="V823" s="306">
        <f t="shared" ca="1" si="351"/>
        <v>1.2264523557002986</v>
      </c>
      <c r="W823" s="304">
        <f t="shared" ca="1" si="352"/>
        <v>27.777377793955608</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0.46958470557023446</v>
      </c>
      <c r="AH823" s="304">
        <f t="shared" ca="1" si="376"/>
        <v>-9.3234396757363882</v>
      </c>
    </row>
    <row r="824" spans="1:34" x14ac:dyDescent="0.2">
      <c r="A824" s="347">
        <f t="shared" ca="1" si="354"/>
        <v>1E-4</v>
      </c>
      <c r="B824" s="304">
        <f t="shared" ca="1" si="355"/>
        <v>36.830400000001219</v>
      </c>
      <c r="D824" s="306">
        <f t="shared" ca="1" si="356"/>
        <v>-0.54824957455832068</v>
      </c>
      <c r="E824" s="307">
        <f t="shared" ca="1" si="357"/>
        <v>-0.50267559568196774</v>
      </c>
      <c r="F824" s="304">
        <f t="shared" ca="1" si="358"/>
        <v>0.74381472861029096</v>
      </c>
      <c r="G824" s="306">
        <f t="shared" ca="1" si="359"/>
        <v>6.1841681741621022</v>
      </c>
      <c r="H824" s="307">
        <f t="shared" ca="1" si="360"/>
        <v>-104.98612287476675</v>
      </c>
      <c r="I824" s="304">
        <f t="shared" ca="1" si="361"/>
        <v>105.16810320758829</v>
      </c>
      <c r="J824" s="306">
        <f t="shared" ca="1" si="362"/>
        <v>745.87074281998321</v>
      </c>
      <c r="K824" s="307">
        <f t="shared" ca="1" si="363"/>
        <v>-11.859439478816656</v>
      </c>
      <c r="L824" s="304">
        <f t="shared" ca="1" si="348"/>
        <v>745.96502015817418</v>
      </c>
      <c r="M824" s="306">
        <f t="shared" ca="1" si="364"/>
        <v>-1.5119596887428823</v>
      </c>
      <c r="N824" s="304">
        <f t="shared" ca="1" si="365"/>
        <v>-86.628908958880757</v>
      </c>
      <c r="P824" s="310">
        <f t="shared" ca="1" si="366"/>
        <v>23</v>
      </c>
      <c r="Q824" s="304">
        <f t="shared" ca="1" si="367"/>
        <v>0</v>
      </c>
      <c r="R824" s="306">
        <f t="shared" ca="1" si="368"/>
        <v>0</v>
      </c>
      <c r="S824" s="307">
        <f t="shared" ca="1" si="369"/>
        <v>2.9792999999999985</v>
      </c>
      <c r="T824" s="304">
        <f t="shared" ca="1" si="349"/>
        <v>29.226932999999988</v>
      </c>
      <c r="U824" s="311">
        <f t="shared" ca="1" si="350"/>
        <v>0</v>
      </c>
      <c r="V824" s="306">
        <f t="shared" ca="1" si="351"/>
        <v>1.2264536433058955</v>
      </c>
      <c r="W824" s="304">
        <f t="shared" ca="1" si="352"/>
        <v>27.777431761157381</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0.46956690765579445</v>
      </c>
      <c r="AH824" s="304">
        <f t="shared" ca="1" si="376"/>
        <v>-9.3234577900700231</v>
      </c>
    </row>
    <row r="825" spans="1:34" x14ac:dyDescent="0.2">
      <c r="A825" s="347">
        <f t="shared" ca="1" si="354"/>
        <v>1E-4</v>
      </c>
      <c r="B825" s="304">
        <f t="shared" ca="1" si="355"/>
        <v>36.830500000001223</v>
      </c>
      <c r="D825" s="306">
        <f t="shared" ca="1" si="356"/>
        <v>-0.54824553453287184</v>
      </c>
      <c r="E825" s="307">
        <f t="shared" ca="1" si="357"/>
        <v>-0.50265721225169813</v>
      </c>
      <c r="F825" s="304">
        <f t="shared" ca="1" si="358"/>
        <v>0.74379932721392206</v>
      </c>
      <c r="G825" s="306">
        <f t="shared" ca="1" si="359"/>
        <v>6.1841133496086487</v>
      </c>
      <c r="H825" s="307">
        <f t="shared" ca="1" si="360"/>
        <v>-104.98617314048798</v>
      </c>
      <c r="I825" s="304">
        <f t="shared" ca="1" si="361"/>
        <v>105.1681501625151</v>
      </c>
      <c r="J825" s="306">
        <f t="shared" ca="1" si="362"/>
        <v>745.87074281998321</v>
      </c>
      <c r="K825" s="307">
        <f t="shared" ca="1" si="363"/>
        <v>-11.869938093617419</v>
      </c>
      <c r="L825" s="304">
        <f t="shared" ca="1" si="348"/>
        <v>745.96518714024432</v>
      </c>
      <c r="M825" s="306">
        <f t="shared" ca="1" si="364"/>
        <v>-1.5119602372496908</v>
      </c>
      <c r="N825" s="304">
        <f t="shared" ca="1" si="365"/>
        <v>-86.628940386005922</v>
      </c>
      <c r="P825" s="310">
        <f t="shared" ca="1" si="366"/>
        <v>23</v>
      </c>
      <c r="Q825" s="304">
        <f t="shared" ca="1" si="367"/>
        <v>0</v>
      </c>
      <c r="R825" s="306">
        <f t="shared" ca="1" si="368"/>
        <v>0</v>
      </c>
      <c r="S825" s="307">
        <f t="shared" ca="1" si="369"/>
        <v>2.9792999999999985</v>
      </c>
      <c r="T825" s="304">
        <f t="shared" ca="1" si="349"/>
        <v>29.226932999999988</v>
      </c>
      <c r="U825" s="311">
        <f t="shared" ca="1" si="350"/>
        <v>0</v>
      </c>
      <c r="V825" s="306">
        <f t="shared" ca="1" si="351"/>
        <v>1.2264549309134616</v>
      </c>
      <c r="W825" s="304">
        <f t="shared" ca="1" si="352"/>
        <v>27.777485727526745</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0.4695491100147251</v>
      </c>
      <c r="AH825" s="304">
        <f t="shared" ca="1" si="376"/>
        <v>-9.3234759041242548</v>
      </c>
    </row>
    <row r="826" spans="1:34" x14ac:dyDescent="0.2">
      <c r="A826" s="347">
        <f t="shared" ca="1" si="354"/>
        <v>1E-4</v>
      </c>
      <c r="B826" s="304">
        <f t="shared" ca="1" si="355"/>
        <v>36.830600000001226</v>
      </c>
      <c r="D826" s="306">
        <f t="shared" ca="1" si="356"/>
        <v>-0.5482414945208085</v>
      </c>
      <c r="E826" s="307">
        <f t="shared" ca="1" si="357"/>
        <v>-0.50263882910490487</v>
      </c>
      <c r="F826" s="304">
        <f t="shared" ca="1" si="358"/>
        <v>0.74378392617638589</v>
      </c>
      <c r="G826" s="306">
        <f t="shared" ca="1" si="359"/>
        <v>6.1840585254591964</v>
      </c>
      <c r="H826" s="307">
        <f t="shared" ca="1" si="360"/>
        <v>-104.98622340437089</v>
      </c>
      <c r="I826" s="304">
        <f t="shared" ca="1" si="361"/>
        <v>105.1681971156622</v>
      </c>
      <c r="J826" s="306">
        <f t="shared" ca="1" si="362"/>
        <v>745.87074281998321</v>
      </c>
      <c r="K826" s="307">
        <f t="shared" ca="1" si="363"/>
        <v>-11.880436713444661</v>
      </c>
      <c r="L826" s="304">
        <f t="shared" ca="1" si="348"/>
        <v>745.96535427011338</v>
      </c>
      <c r="M826" s="306">
        <f t="shared" ca="1" si="364"/>
        <v>-1.5119607857511466</v>
      </c>
      <c r="N826" s="304">
        <f t="shared" ca="1" si="365"/>
        <v>-86.628971812824389</v>
      </c>
      <c r="P826" s="310">
        <f t="shared" ca="1" si="366"/>
        <v>23</v>
      </c>
      <c r="Q826" s="304">
        <f t="shared" ca="1" si="367"/>
        <v>0</v>
      </c>
      <c r="R826" s="306">
        <f t="shared" ca="1" si="368"/>
        <v>0</v>
      </c>
      <c r="S826" s="307">
        <f t="shared" ca="1" si="369"/>
        <v>2.9792999999999985</v>
      </c>
      <c r="T826" s="304">
        <f t="shared" ca="1" si="349"/>
        <v>29.226932999999988</v>
      </c>
      <c r="U826" s="311">
        <f t="shared" ca="1" si="350"/>
        <v>0</v>
      </c>
      <c r="V826" s="306">
        <f t="shared" ca="1" si="351"/>
        <v>1.226456218522997</v>
      </c>
      <c r="W826" s="304">
        <f t="shared" ca="1" si="352"/>
        <v>27.777539693063737</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0.46953131264701753</v>
      </c>
      <c r="AH826" s="304">
        <f t="shared" ca="1" si="376"/>
        <v>-9.3234940178990904</v>
      </c>
    </row>
    <row r="827" spans="1:34" x14ac:dyDescent="0.2">
      <c r="A827" s="347">
        <f t="shared" ca="1" si="354"/>
        <v>1E-4</v>
      </c>
      <c r="B827" s="304">
        <f t="shared" ca="1" si="355"/>
        <v>36.830700000001229</v>
      </c>
      <c r="D827" s="306">
        <f t="shared" ca="1" si="356"/>
        <v>-0.54823745452213379</v>
      </c>
      <c r="E827" s="307">
        <f t="shared" ca="1" si="357"/>
        <v>-0.50262044624158264</v>
      </c>
      <c r="F827" s="304">
        <f t="shared" ca="1" si="358"/>
        <v>0.74376852549768224</v>
      </c>
      <c r="G827" s="306">
        <f t="shared" ca="1" si="359"/>
        <v>6.1840037017137446</v>
      </c>
      <c r="H827" s="307">
        <f t="shared" ca="1" si="360"/>
        <v>-104.98627366641551</v>
      </c>
      <c r="I827" s="304">
        <f t="shared" ca="1" si="361"/>
        <v>105.16824406702958</v>
      </c>
      <c r="J827" s="306">
        <f t="shared" ca="1" si="362"/>
        <v>745.87074281998321</v>
      </c>
      <c r="K827" s="307">
        <f t="shared" ca="1" si="363"/>
        <v>-11.890935338298201</v>
      </c>
      <c r="L827" s="304">
        <f t="shared" ca="1" si="348"/>
        <v>745.96552154778112</v>
      </c>
      <c r="M827" s="306">
        <f t="shared" ca="1" si="364"/>
        <v>-1.51196133424725</v>
      </c>
      <c r="N827" s="304">
        <f t="shared" ca="1" si="365"/>
        <v>-86.6290032393362</v>
      </c>
      <c r="P827" s="310">
        <f t="shared" ca="1" si="366"/>
        <v>23</v>
      </c>
      <c r="Q827" s="304">
        <f t="shared" ca="1" si="367"/>
        <v>0</v>
      </c>
      <c r="R827" s="306">
        <f t="shared" ca="1" si="368"/>
        <v>0</v>
      </c>
      <c r="S827" s="307">
        <f t="shared" ca="1" si="369"/>
        <v>2.9792999999999985</v>
      </c>
      <c r="T827" s="304">
        <f t="shared" ca="1" si="349"/>
        <v>29.226932999999988</v>
      </c>
      <c r="U827" s="311">
        <f t="shared" ca="1" si="350"/>
        <v>0</v>
      </c>
      <c r="V827" s="306">
        <f t="shared" ca="1" si="351"/>
        <v>1.2264575061345018</v>
      </c>
      <c r="W827" s="304">
        <f t="shared" ca="1" si="352"/>
        <v>27.777593657768346</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0.46951351555266285</v>
      </c>
      <c r="AH827" s="304">
        <f t="shared" ca="1" si="376"/>
        <v>-9.3235121313945388</v>
      </c>
    </row>
    <row r="828" spans="1:34" x14ac:dyDescent="0.2">
      <c r="A828" s="347">
        <f t="shared" ca="1" si="354"/>
        <v>1E-4</v>
      </c>
      <c r="B828" s="304">
        <f t="shared" ca="1" si="355"/>
        <v>36.830800000001233</v>
      </c>
      <c r="D828" s="306">
        <f t="shared" ca="1" si="356"/>
        <v>-0.54823341453684649</v>
      </c>
      <c r="E828" s="307">
        <f t="shared" ca="1" si="357"/>
        <v>-0.50260206366173144</v>
      </c>
      <c r="F828" s="304">
        <f t="shared" ca="1" si="358"/>
        <v>0.74375312517781123</v>
      </c>
      <c r="G828" s="306">
        <f t="shared" ca="1" si="359"/>
        <v>6.1839488783722905</v>
      </c>
      <c r="H828" s="307">
        <f t="shared" ca="1" si="360"/>
        <v>-104.98632392662188</v>
      </c>
      <c r="I828" s="304">
        <f t="shared" ca="1" si="361"/>
        <v>105.16829101661726</v>
      </c>
      <c r="J828" s="306">
        <f t="shared" ca="1" si="362"/>
        <v>745.87074281998321</v>
      </c>
      <c r="K828" s="307">
        <f t="shared" ca="1" si="363"/>
        <v>-11.901433968177853</v>
      </c>
      <c r="L828" s="304">
        <f t="shared" ca="1" si="348"/>
        <v>745.96568897324789</v>
      </c>
      <c r="M828" s="306">
        <f t="shared" ca="1" si="364"/>
        <v>-1.5119618827380013</v>
      </c>
      <c r="N828" s="304">
        <f t="shared" ca="1" si="365"/>
        <v>-86.629034665541354</v>
      </c>
      <c r="P828" s="310">
        <f t="shared" ca="1" si="366"/>
        <v>23</v>
      </c>
      <c r="Q828" s="304">
        <f t="shared" ca="1" si="367"/>
        <v>0</v>
      </c>
      <c r="R828" s="306">
        <f t="shared" ca="1" si="368"/>
        <v>0</v>
      </c>
      <c r="S828" s="307">
        <f t="shared" ca="1" si="369"/>
        <v>2.9792999999999985</v>
      </c>
      <c r="T828" s="304">
        <f t="shared" ca="1" si="349"/>
        <v>29.226932999999988</v>
      </c>
      <c r="U828" s="311">
        <f t="shared" ca="1" si="350"/>
        <v>0</v>
      </c>
      <c r="V828" s="306">
        <f t="shared" ca="1" si="351"/>
        <v>1.2264587937479752</v>
      </c>
      <c r="W828" s="304">
        <f t="shared" ca="1" si="352"/>
        <v>27.777647621640568</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0.4694957187316593</v>
      </c>
      <c r="AH828" s="304">
        <f t="shared" ca="1" si="376"/>
        <v>-9.3235302446106001</v>
      </c>
    </row>
    <row r="829" spans="1:34" x14ac:dyDescent="0.2">
      <c r="A829" s="347">
        <f t="shared" ca="1" si="354"/>
        <v>1E-4</v>
      </c>
      <c r="B829" s="304">
        <f t="shared" ca="1" si="355"/>
        <v>36.830900000001236</v>
      </c>
      <c r="D829" s="306">
        <f t="shared" ca="1" si="356"/>
        <v>-0.54822937456494503</v>
      </c>
      <c r="E829" s="307">
        <f t="shared" ca="1" si="357"/>
        <v>-0.50258368136535303</v>
      </c>
      <c r="F829" s="304">
        <f t="shared" ca="1" si="358"/>
        <v>0.74373772521677395</v>
      </c>
      <c r="G829" s="306">
        <f t="shared" ca="1" si="359"/>
        <v>6.1838940554348341</v>
      </c>
      <c r="H829" s="307">
        <f t="shared" ca="1" si="360"/>
        <v>-104.98637418499001</v>
      </c>
      <c r="I829" s="304">
        <f t="shared" ca="1" si="361"/>
        <v>105.16833796442531</v>
      </c>
      <c r="J829" s="306">
        <f t="shared" ca="1" si="362"/>
        <v>745.87074281998321</v>
      </c>
      <c r="K829" s="307">
        <f t="shared" ca="1" si="363"/>
        <v>-11.911932603083434</v>
      </c>
      <c r="L829" s="304">
        <f t="shared" ca="1" si="348"/>
        <v>745.96585654651369</v>
      </c>
      <c r="M829" s="306">
        <f t="shared" ca="1" si="364"/>
        <v>-1.5119624312234001</v>
      </c>
      <c r="N829" s="304">
        <f t="shared" ca="1" si="365"/>
        <v>-86.629066091439825</v>
      </c>
      <c r="P829" s="310">
        <f t="shared" ca="1" si="366"/>
        <v>23</v>
      </c>
      <c r="Q829" s="304">
        <f t="shared" ca="1" si="367"/>
        <v>0</v>
      </c>
      <c r="R829" s="306">
        <f t="shared" ca="1" si="368"/>
        <v>0</v>
      </c>
      <c r="S829" s="307">
        <f t="shared" ca="1" si="369"/>
        <v>2.9792999999999985</v>
      </c>
      <c r="T829" s="304">
        <f t="shared" ca="1" si="349"/>
        <v>29.226932999999988</v>
      </c>
      <c r="U829" s="311">
        <f t="shared" ca="1" si="350"/>
        <v>0</v>
      </c>
      <c r="V829" s="306">
        <f t="shared" ca="1" si="351"/>
        <v>1.2264600813634179</v>
      </c>
      <c r="W829" s="304">
        <f t="shared" ca="1" si="352"/>
        <v>27.77770158468044</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0.46947792218401574</v>
      </c>
      <c r="AH829" s="304">
        <f t="shared" ca="1" si="376"/>
        <v>-9.3235483575472706</v>
      </c>
    </row>
    <row r="830" spans="1:34" x14ac:dyDescent="0.2">
      <c r="A830" s="347">
        <f t="shared" ca="1" si="354"/>
        <v>1E-4</v>
      </c>
      <c r="B830" s="304">
        <f t="shared" ca="1" si="355"/>
        <v>36.831000000001239</v>
      </c>
      <c r="D830" s="306">
        <f t="shared" ca="1" si="356"/>
        <v>-0.54822533460643308</v>
      </c>
      <c r="E830" s="307">
        <f t="shared" ca="1" si="357"/>
        <v>-0.50256529935243499</v>
      </c>
      <c r="F830" s="304">
        <f t="shared" ca="1" si="358"/>
        <v>0.74372232561456575</v>
      </c>
      <c r="G830" s="306">
        <f t="shared" ca="1" si="359"/>
        <v>6.1838392329013736</v>
      </c>
      <c r="H830" s="307">
        <f t="shared" ca="1" si="360"/>
        <v>-104.98642444151994</v>
      </c>
      <c r="I830" s="304">
        <f t="shared" ca="1" si="361"/>
        <v>105.16838491045371</v>
      </c>
      <c r="J830" s="306">
        <f t="shared" ca="1" si="362"/>
        <v>745.87074281998321</v>
      </c>
      <c r="K830" s="307">
        <f t="shared" ca="1" si="363"/>
        <v>-11.92243124301476</v>
      </c>
      <c r="L830" s="304">
        <f t="shared" ca="1" si="348"/>
        <v>745.96602426757875</v>
      </c>
      <c r="M830" s="306">
        <f t="shared" ca="1" si="364"/>
        <v>-1.5119629797034468</v>
      </c>
      <c r="N830" s="304">
        <f t="shared" ca="1" si="365"/>
        <v>-86.629097517031653</v>
      </c>
      <c r="P830" s="310">
        <f t="shared" ca="1" si="366"/>
        <v>23</v>
      </c>
      <c r="Q830" s="304">
        <f t="shared" ca="1" si="367"/>
        <v>0</v>
      </c>
      <c r="R830" s="306">
        <f t="shared" ca="1" si="368"/>
        <v>0</v>
      </c>
      <c r="S830" s="307">
        <f t="shared" ca="1" si="369"/>
        <v>2.9792999999999985</v>
      </c>
      <c r="T830" s="304">
        <f t="shared" ca="1" si="349"/>
        <v>29.226932999999988</v>
      </c>
      <c r="U830" s="311">
        <f t="shared" ca="1" si="350"/>
        <v>0</v>
      </c>
      <c r="V830" s="306">
        <f t="shared" ca="1" si="351"/>
        <v>1.2264613689808292</v>
      </c>
      <c r="W830" s="304">
        <f t="shared" ca="1" si="352"/>
        <v>27.777755546887946</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0.46946012590971797</v>
      </c>
      <c r="AH830" s="304">
        <f t="shared" ca="1" si="376"/>
        <v>-9.3235664702045629</v>
      </c>
    </row>
    <row r="831" spans="1:34" x14ac:dyDescent="0.2">
      <c r="A831" s="347">
        <f t="shared" ca="1" si="354"/>
        <v>1E-4</v>
      </c>
      <c r="B831" s="304">
        <f t="shared" ca="1" si="355"/>
        <v>36.831100000001243</v>
      </c>
      <c r="D831" s="306">
        <f t="shared" ca="1" si="356"/>
        <v>-0.54822129466130898</v>
      </c>
      <c r="E831" s="307">
        <f t="shared" ca="1" si="357"/>
        <v>-0.50254691762298442</v>
      </c>
      <c r="F831" s="304">
        <f t="shared" ca="1" si="358"/>
        <v>0.74370692637119118</v>
      </c>
      <c r="G831" s="306">
        <f t="shared" ca="1" si="359"/>
        <v>6.1837844107719073</v>
      </c>
      <c r="H831" s="307">
        <f t="shared" ca="1" si="360"/>
        <v>-104.9864746962117</v>
      </c>
      <c r="I831" s="304">
        <f t="shared" ca="1" si="361"/>
        <v>105.16843185470252</v>
      </c>
      <c r="J831" s="306">
        <f t="shared" ca="1" si="362"/>
        <v>745.87074281998321</v>
      </c>
      <c r="K831" s="307">
        <f t="shared" ca="1" si="363"/>
        <v>-11.932929887971646</v>
      </c>
      <c r="L831" s="304">
        <f t="shared" ca="1" si="348"/>
        <v>745.96619213644317</v>
      </c>
      <c r="M831" s="306">
        <f t="shared" ca="1" si="364"/>
        <v>-1.5119635281781414</v>
      </c>
      <c r="N831" s="304">
        <f t="shared" ca="1" si="365"/>
        <v>-86.629128942316825</v>
      </c>
      <c r="P831" s="310">
        <f t="shared" ca="1" si="366"/>
        <v>23</v>
      </c>
      <c r="Q831" s="304">
        <f t="shared" ca="1" si="367"/>
        <v>0</v>
      </c>
      <c r="R831" s="306">
        <f t="shared" ca="1" si="368"/>
        <v>0</v>
      </c>
      <c r="S831" s="307">
        <f t="shared" ca="1" si="369"/>
        <v>2.9792999999999985</v>
      </c>
      <c r="T831" s="304">
        <f t="shared" ca="1" si="349"/>
        <v>29.226932999999988</v>
      </c>
      <c r="U831" s="311">
        <f t="shared" ca="1" si="350"/>
        <v>0</v>
      </c>
      <c r="V831" s="306">
        <f t="shared" ca="1" si="351"/>
        <v>1.2264626566002095</v>
      </c>
      <c r="W831" s="304">
        <f t="shared" ca="1" si="352"/>
        <v>27.7778095082631</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0.46944232990876777</v>
      </c>
      <c r="AH831" s="304">
        <f t="shared" ca="1" si="376"/>
        <v>-9.3235845825824715</v>
      </c>
    </row>
    <row r="832" spans="1:34" x14ac:dyDescent="0.2">
      <c r="A832" s="347">
        <f t="shared" ca="1" si="354"/>
        <v>1E-4</v>
      </c>
      <c r="B832" s="304">
        <f t="shared" ca="1" si="355"/>
        <v>36.831200000001246</v>
      </c>
      <c r="D832" s="306">
        <f t="shared" ca="1" si="356"/>
        <v>-0.54821725472957372</v>
      </c>
      <c r="E832" s="307">
        <f t="shared" ca="1" si="357"/>
        <v>-0.50252853617699067</v>
      </c>
      <c r="F832" s="304">
        <f t="shared" ca="1" si="358"/>
        <v>0.74369152748664513</v>
      </c>
      <c r="G832" s="306">
        <f t="shared" ca="1" si="359"/>
        <v>6.1837295890464343</v>
      </c>
      <c r="H832" s="307">
        <f t="shared" ca="1" si="360"/>
        <v>-104.98652494906531</v>
      </c>
      <c r="I832" s="304">
        <f t="shared" ca="1" si="361"/>
        <v>105.16847879717174</v>
      </c>
      <c r="J832" s="306">
        <f t="shared" ca="1" si="362"/>
        <v>745.87074281998321</v>
      </c>
      <c r="K832" s="307">
        <f t="shared" ca="1" si="363"/>
        <v>-11.94342853795391</v>
      </c>
      <c r="L832" s="304">
        <f t="shared" ca="1" si="348"/>
        <v>745.96636015310685</v>
      </c>
      <c r="M832" s="306">
        <f t="shared" ca="1" si="364"/>
        <v>-1.5119640766474838</v>
      </c>
      <c r="N832" s="304">
        <f t="shared" ca="1" si="365"/>
        <v>-86.629160367295327</v>
      </c>
      <c r="P832" s="310">
        <f t="shared" ca="1" si="366"/>
        <v>23</v>
      </c>
      <c r="Q832" s="304">
        <f t="shared" ca="1" si="367"/>
        <v>0</v>
      </c>
      <c r="R832" s="306">
        <f t="shared" ca="1" si="368"/>
        <v>0</v>
      </c>
      <c r="S832" s="307">
        <f t="shared" ca="1" si="369"/>
        <v>2.9792999999999985</v>
      </c>
      <c r="T832" s="304">
        <f t="shared" ca="1" si="349"/>
        <v>29.226932999999988</v>
      </c>
      <c r="U832" s="311">
        <f t="shared" ca="1" si="350"/>
        <v>0</v>
      </c>
      <c r="V832" s="306">
        <f t="shared" ca="1" si="351"/>
        <v>1.226463944221559</v>
      </c>
      <c r="W832" s="304">
        <f t="shared" ca="1" si="352"/>
        <v>27.777863468805933</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0.46942453418116159</v>
      </c>
      <c r="AH832" s="304">
        <f t="shared" ca="1" si="376"/>
        <v>-9.3236026946810036</v>
      </c>
    </row>
    <row r="833" spans="1:34" x14ac:dyDescent="0.2">
      <c r="A833" s="347">
        <f t="shared" ca="1" si="354"/>
        <v>1E-4</v>
      </c>
      <c r="B833" s="304">
        <f t="shared" ca="1" si="355"/>
        <v>36.831300000001249</v>
      </c>
      <c r="D833" s="306">
        <f t="shared" ca="1" si="356"/>
        <v>-0.54821321481122876</v>
      </c>
      <c r="E833" s="307">
        <f t="shared" ca="1" si="357"/>
        <v>-0.50251015501445018</v>
      </c>
      <c r="F833" s="304">
        <f t="shared" ca="1" si="358"/>
        <v>0.74367612896092694</v>
      </c>
      <c r="G833" s="306">
        <f t="shared" ca="1" si="359"/>
        <v>6.1836747677249528</v>
      </c>
      <c r="H833" s="307">
        <f t="shared" ca="1" si="360"/>
        <v>-104.98657520008081</v>
      </c>
      <c r="I833" s="304">
        <f t="shared" ca="1" si="361"/>
        <v>105.16852573786143</v>
      </c>
      <c r="J833" s="306">
        <f t="shared" ca="1" si="362"/>
        <v>745.87074281998321</v>
      </c>
      <c r="K833" s="307">
        <f t="shared" ca="1" si="363"/>
        <v>-11.953927192961368</v>
      </c>
      <c r="L833" s="304">
        <f t="shared" ca="1" si="348"/>
        <v>745.96652831757012</v>
      </c>
      <c r="M833" s="306">
        <f t="shared" ca="1" si="364"/>
        <v>-1.5119646251114742</v>
      </c>
      <c r="N833" s="304">
        <f t="shared" ca="1" si="365"/>
        <v>-86.629191791967202</v>
      </c>
      <c r="P833" s="310">
        <f t="shared" ca="1" si="366"/>
        <v>23</v>
      </c>
      <c r="Q833" s="304">
        <f t="shared" ca="1" si="367"/>
        <v>0</v>
      </c>
      <c r="R833" s="306">
        <f t="shared" ca="1" si="368"/>
        <v>0</v>
      </c>
      <c r="S833" s="307">
        <f t="shared" ca="1" si="369"/>
        <v>2.9792999999999985</v>
      </c>
      <c r="T833" s="304">
        <f t="shared" ca="1" si="349"/>
        <v>29.226932999999988</v>
      </c>
      <c r="U833" s="311">
        <f t="shared" ca="1" si="350"/>
        <v>0</v>
      </c>
      <c r="V833" s="306">
        <f t="shared" ca="1" si="351"/>
        <v>1.2264652318448774</v>
      </c>
      <c r="W833" s="304">
        <f t="shared" ca="1" si="352"/>
        <v>27.777917428516432</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0.46940673872689409</v>
      </c>
      <c r="AH833" s="304">
        <f t="shared" ca="1" si="376"/>
        <v>-9.3236208065001662</v>
      </c>
    </row>
    <row r="834" spans="1:34" x14ac:dyDescent="0.2">
      <c r="A834" s="347">
        <f t="shared" ca="1" si="354"/>
        <v>1E-4</v>
      </c>
      <c r="B834" s="304">
        <f t="shared" ca="1" si="355"/>
        <v>36.831400000001253</v>
      </c>
      <c r="D834" s="306">
        <f t="shared" ca="1" si="356"/>
        <v>-0.54820917490627252</v>
      </c>
      <c r="E834" s="307">
        <f t="shared" ca="1" si="357"/>
        <v>-0.50249177413536295</v>
      </c>
      <c r="F834" s="304">
        <f t="shared" ca="1" si="358"/>
        <v>0.74366073079403672</v>
      </c>
      <c r="G834" s="306">
        <f t="shared" ca="1" si="359"/>
        <v>6.183619946807462</v>
      </c>
      <c r="H834" s="307">
        <f t="shared" ca="1" si="360"/>
        <v>-104.98662544925823</v>
      </c>
      <c r="I834" s="304">
        <f t="shared" ca="1" si="361"/>
        <v>105.1685726767716</v>
      </c>
      <c r="J834" s="306">
        <f t="shared" ca="1" si="362"/>
        <v>745.87074281998321</v>
      </c>
      <c r="K834" s="307">
        <f t="shared" ca="1" si="363"/>
        <v>-11.964425852993834</v>
      </c>
      <c r="L834" s="304">
        <f t="shared" ca="1" si="348"/>
        <v>745.966696629833</v>
      </c>
      <c r="M834" s="306">
        <f t="shared" ca="1" si="364"/>
        <v>-1.5119651735701127</v>
      </c>
      <c r="N834" s="304">
        <f t="shared" ca="1" si="365"/>
        <v>-86.62922321633242</v>
      </c>
      <c r="P834" s="310">
        <f t="shared" ca="1" si="366"/>
        <v>23</v>
      </c>
      <c r="Q834" s="304">
        <f t="shared" ca="1" si="367"/>
        <v>0</v>
      </c>
      <c r="R834" s="306">
        <f t="shared" ca="1" si="368"/>
        <v>0</v>
      </c>
      <c r="S834" s="307">
        <f t="shared" ca="1" si="369"/>
        <v>2.9792999999999985</v>
      </c>
      <c r="T834" s="304">
        <f t="shared" ca="1" si="349"/>
        <v>29.226932999999988</v>
      </c>
      <c r="U834" s="311">
        <f t="shared" ca="1" si="350"/>
        <v>0</v>
      </c>
      <c r="V834" s="306">
        <f t="shared" ca="1" si="351"/>
        <v>1.2264665194701652</v>
      </c>
      <c r="W834" s="304">
        <f t="shared" ca="1" si="352"/>
        <v>27.77797138739464</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0.4693889435459635</v>
      </c>
      <c r="AH834" s="304">
        <f t="shared" ca="1" si="376"/>
        <v>-9.3236389180399577</v>
      </c>
    </row>
    <row r="835" spans="1:34" x14ac:dyDescent="0.2">
      <c r="A835" s="347">
        <f t="shared" ca="1" si="354"/>
        <v>1E-4</v>
      </c>
      <c r="B835" s="304">
        <f t="shared" ca="1" si="355"/>
        <v>36.831500000001256</v>
      </c>
      <c r="D835" s="306">
        <f t="shared" ca="1" si="356"/>
        <v>-0.54820513501470636</v>
      </c>
      <c r="E835" s="307">
        <f t="shared" ca="1" si="357"/>
        <v>-0.50247339353971654</v>
      </c>
      <c r="F835" s="304">
        <f t="shared" ca="1" si="358"/>
        <v>0.74364533298596802</v>
      </c>
      <c r="G835" s="306">
        <f t="shared" ca="1" si="359"/>
        <v>6.1835651262939608</v>
      </c>
      <c r="H835" s="307">
        <f t="shared" ca="1" si="360"/>
        <v>-104.98667569659759</v>
      </c>
      <c r="I835" s="304">
        <f t="shared" ca="1" si="361"/>
        <v>105.16861961390229</v>
      </c>
      <c r="J835" s="306">
        <f t="shared" ca="1" si="362"/>
        <v>745.87074281998321</v>
      </c>
      <c r="K835" s="307">
        <f t="shared" ca="1" si="363"/>
        <v>-11.974924518051127</v>
      </c>
      <c r="L835" s="304">
        <f t="shared" ca="1" si="348"/>
        <v>745.96686508989558</v>
      </c>
      <c r="M835" s="306">
        <f t="shared" ca="1" si="364"/>
        <v>-1.5119657220233993</v>
      </c>
      <c r="N835" s="304">
        <f t="shared" ca="1" si="365"/>
        <v>-86.629254640390997</v>
      </c>
      <c r="P835" s="310">
        <f t="shared" ca="1" si="366"/>
        <v>23</v>
      </c>
      <c r="Q835" s="304">
        <f t="shared" ca="1" si="367"/>
        <v>0</v>
      </c>
      <c r="R835" s="306">
        <f t="shared" ca="1" si="368"/>
        <v>0</v>
      </c>
      <c r="S835" s="307">
        <f t="shared" ca="1" si="369"/>
        <v>2.9792999999999985</v>
      </c>
      <c r="T835" s="304">
        <f t="shared" ca="1" si="349"/>
        <v>29.226932999999988</v>
      </c>
      <c r="U835" s="311">
        <f t="shared" ca="1" si="350"/>
        <v>0</v>
      </c>
      <c r="V835" s="306">
        <f t="shared" ca="1" si="351"/>
        <v>1.2264678070974213</v>
      </c>
      <c r="W835" s="304">
        <f t="shared" ca="1" si="352"/>
        <v>27.778025345440533</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0.46937114863835738</v>
      </c>
      <c r="AH835" s="304">
        <f t="shared" ca="1" si="376"/>
        <v>-9.3236570293003904</v>
      </c>
    </row>
    <row r="836" spans="1:34" x14ac:dyDescent="0.2">
      <c r="A836" s="347">
        <f t="shared" ca="1" si="354"/>
        <v>1E-4</v>
      </c>
      <c r="B836" s="304">
        <f t="shared" ca="1" si="355"/>
        <v>36.831600000001259</v>
      </c>
      <c r="D836" s="306">
        <f t="shared" ca="1" si="356"/>
        <v>-0.54820109513653092</v>
      </c>
      <c r="E836" s="307">
        <f t="shared" ca="1" si="357"/>
        <v>-0.50245501322751807</v>
      </c>
      <c r="F836" s="304">
        <f t="shared" ca="1" si="358"/>
        <v>0.74362993553672729</v>
      </c>
      <c r="G836" s="306">
        <f t="shared" ca="1" si="359"/>
        <v>6.1835103061844467</v>
      </c>
      <c r="H836" s="307">
        <f t="shared" ca="1" si="360"/>
        <v>-104.98672594209891</v>
      </c>
      <c r="I836" s="304">
        <f t="shared" ca="1" si="361"/>
        <v>105.16866654925352</v>
      </c>
      <c r="J836" s="306">
        <f t="shared" ca="1" si="362"/>
        <v>745.87074281998321</v>
      </c>
      <c r="K836" s="307">
        <f t="shared" ca="1" si="363"/>
        <v>-11.985423188133062</v>
      </c>
      <c r="L836" s="304">
        <f t="shared" ref="L836:L899" ca="1" si="377">SQRT(pos_x^2+pos_z^2)</f>
        <v>745.9670336977581</v>
      </c>
      <c r="M836" s="306">
        <f t="shared" ca="1" si="364"/>
        <v>-1.5119662704713341</v>
      </c>
      <c r="N836" s="304">
        <f t="shared" ca="1" si="365"/>
        <v>-86.62928606414296</v>
      </c>
      <c r="P836" s="310">
        <f t="shared" ca="1" si="366"/>
        <v>23</v>
      </c>
      <c r="Q836" s="304">
        <f t="shared" ca="1" si="367"/>
        <v>0</v>
      </c>
      <c r="R836" s="306">
        <f t="shared" ca="1" si="368"/>
        <v>0</v>
      </c>
      <c r="S836" s="307">
        <f t="shared" ca="1" si="369"/>
        <v>2.9792999999999985</v>
      </c>
      <c r="T836" s="304">
        <f t="shared" ref="T836:T899" ca="1" si="378">m*g</f>
        <v>29.226932999999988</v>
      </c>
      <c r="U836" s="311">
        <f t="shared" ref="U836:U899" ca="1" si="379">IF(pos_xz&lt;L_rampe,Poids*COS(Beta),0)</f>
        <v>0</v>
      </c>
      <c r="V836" s="306">
        <f t="shared" ref="V836:V899" ca="1" si="380">Rho_moyen*(20000-Alt_rampe-pos_z)/(20000+Alt_rampe+pos_z)</f>
        <v>1.2264690947266466</v>
      </c>
      <c r="W836" s="304">
        <f t="shared" ref="W836:W899" ca="1" si="381">1/2*Rho*Sref*Cx*vit_xz^2</f>
        <v>27.778079302654135</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0.46935335400408462</v>
      </c>
      <c r="AH836" s="304">
        <f t="shared" ca="1" si="376"/>
        <v>-9.3236751402814573</v>
      </c>
    </row>
    <row r="837" spans="1:34" x14ac:dyDescent="0.2">
      <c r="A837" s="347">
        <f t="shared" ref="A837:A900" ca="1" si="383">IF(B836+0.01&lt;=T_ini+ROUNDUP(Temps_fin_propu,0), 0.01, IF(K836&gt;0, 0.1, 0.0001))</f>
        <v>1E-4</v>
      </c>
      <c r="B837" s="304">
        <f t="shared" ref="B837:B900" ca="1" si="384">B836+pas</f>
        <v>36.831700000001263</v>
      </c>
      <c r="D837" s="306">
        <f t="shared" ref="D837:D900" ca="1" si="385">IF(AND(L836&lt;L_rampe,Poussee&lt;Poids*SIN(M836)),0,(-W836+Poussee)/m*COS(M836)-U836/m*SIN(M836))</f>
        <v>-0.54819705527174523</v>
      </c>
      <c r="E837" s="307">
        <f t="shared" ref="E837:E900" ca="1" si="386">IF(AND(L836&lt;L_rampe,Poussee&lt;Poids*SIN(M836)),0,(-W836+Poussee)/m*SIN(M836)+U836/m*COS(M836)-Poids/m)</f>
        <v>-0.50243663319876042</v>
      </c>
      <c r="F837" s="304">
        <f t="shared" ref="F837:F900" ca="1" si="387">SQRT(acc_x^2+acc_z^2)</f>
        <v>0.74361453844630998</v>
      </c>
      <c r="G837" s="306">
        <f t="shared" ref="G837:G900" ca="1" si="388">G836+acc_x*pas</f>
        <v>6.1834554864789197</v>
      </c>
      <c r="H837" s="307">
        <f t="shared" ref="H837:H900" ca="1" si="389">H836+acc_z*pas</f>
        <v>-104.98677618576224</v>
      </c>
      <c r="I837" s="304">
        <f t="shared" ref="I837:I900" ca="1" si="390">SQRT(vit_x^2+vit_z^2)</f>
        <v>105.1687134828253</v>
      </c>
      <c r="J837" s="306">
        <f t="shared" ref="J837:J900" ca="1" si="391">J836+0.5*(vit_x+G836)*pas*(K836&gt;=0)</f>
        <v>745.87074281998321</v>
      </c>
      <c r="K837" s="307">
        <f t="shared" ref="K837:K900" ca="1" si="392">K836+0.5*(vit_z+H836)*pas</f>
        <v>-11.995921863239454</v>
      </c>
      <c r="L837" s="304">
        <f t="shared" ca="1" si="377"/>
        <v>745.96720245342055</v>
      </c>
      <c r="M837" s="306">
        <f t="shared" ref="M837:M900" ca="1" si="393">IF(AND(L836&gt;L_rampe,G837&gt;0),ATAN2(G837,H837),$M$4)</f>
        <v>-1.5119668189139173</v>
      </c>
      <c r="N837" s="304">
        <f t="shared" ref="N837:N900" ca="1" si="394">DEGREES(Beta)</f>
        <v>-86.629317487588267</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2.9792999999999985</v>
      </c>
      <c r="T837" s="304">
        <f t="shared" ca="1" si="378"/>
        <v>29.226932999999988</v>
      </c>
      <c r="U837" s="311">
        <f t="shared" ca="1" si="379"/>
        <v>0</v>
      </c>
      <c r="V837" s="306">
        <f t="shared" ca="1" si="380"/>
        <v>1.2264703823578404</v>
      </c>
      <c r="W837" s="304">
        <f t="shared" ca="1" si="381"/>
        <v>27.778133259035446</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0.46933555964313634</v>
      </c>
      <c r="AH837" s="304">
        <f t="shared" ref="AH837:AH900" ca="1" si="405">IF(AND(L836&lt;L_rampe,Poussee&lt;Poids*SIN(M836)), g*SIN(M836), (-W836+Poussee)/m)</f>
        <v>-9.3236932509831671</v>
      </c>
    </row>
    <row r="838" spans="1:34" x14ac:dyDescent="0.2">
      <c r="A838" s="347">
        <f t="shared" ca="1" si="383"/>
        <v>1E-4</v>
      </c>
      <c r="B838" s="304">
        <f t="shared" ca="1" si="384"/>
        <v>36.831800000001266</v>
      </c>
      <c r="D838" s="306">
        <f t="shared" ca="1" si="385"/>
        <v>-0.54819301542034982</v>
      </c>
      <c r="E838" s="307">
        <f t="shared" ca="1" si="386"/>
        <v>-0.50241825345344182</v>
      </c>
      <c r="F838" s="304">
        <f t="shared" ca="1" si="387"/>
        <v>0.74359914171471631</v>
      </c>
      <c r="G838" s="306">
        <f t="shared" ca="1" si="388"/>
        <v>6.183400667177378</v>
      </c>
      <c r="H838" s="307">
        <f t="shared" ca="1" si="389"/>
        <v>-104.98682642758759</v>
      </c>
      <c r="I838" s="304">
        <f t="shared" ca="1" si="390"/>
        <v>105.16876041461768</v>
      </c>
      <c r="J838" s="306">
        <f t="shared" ca="1" si="391"/>
        <v>745.87074281998321</v>
      </c>
      <c r="K838" s="307">
        <f t="shared" ca="1" si="392"/>
        <v>-12.006420543370123</v>
      </c>
      <c r="L838" s="304">
        <f t="shared" ca="1" si="377"/>
        <v>745.96737135688295</v>
      </c>
      <c r="M838" s="306">
        <f t="shared" ca="1" si="393"/>
        <v>-1.5119673673511487</v>
      </c>
      <c r="N838" s="304">
        <f t="shared" ca="1" si="394"/>
        <v>-86.629348910726961</v>
      </c>
      <c r="P838" s="310">
        <f t="shared" ca="1" si="395"/>
        <v>23</v>
      </c>
      <c r="Q838" s="304">
        <f t="shared" ca="1" si="396"/>
        <v>0</v>
      </c>
      <c r="R838" s="306">
        <f t="shared" ca="1" si="397"/>
        <v>0</v>
      </c>
      <c r="S838" s="307">
        <f t="shared" ca="1" si="398"/>
        <v>2.9792999999999985</v>
      </c>
      <c r="T838" s="304">
        <f t="shared" ca="1" si="378"/>
        <v>29.226932999999988</v>
      </c>
      <c r="U838" s="311">
        <f t="shared" ca="1" si="379"/>
        <v>0</v>
      </c>
      <c r="V838" s="306">
        <f t="shared" ca="1" si="380"/>
        <v>1.2264716699910037</v>
      </c>
      <c r="W838" s="304">
        <f t="shared" ca="1" si="381"/>
        <v>27.778187214584502</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0.46931776555551608</v>
      </c>
      <c r="AH838" s="304">
        <f t="shared" ca="1" si="405"/>
        <v>-9.3237113614055183</v>
      </c>
    </row>
    <row r="839" spans="1:34" x14ac:dyDescent="0.2">
      <c r="A839" s="347">
        <f t="shared" ca="1" si="383"/>
        <v>1E-4</v>
      </c>
      <c r="B839" s="304">
        <f t="shared" ca="1" si="384"/>
        <v>36.831900000001269</v>
      </c>
      <c r="D839" s="306">
        <f t="shared" ca="1" si="385"/>
        <v>-0.54818897558234647</v>
      </c>
      <c r="E839" s="307">
        <f t="shared" ca="1" si="386"/>
        <v>-0.50239987399155339</v>
      </c>
      <c r="F839" s="304">
        <f t="shared" ca="1" si="387"/>
        <v>0.74358374534194283</v>
      </c>
      <c r="G839" s="306">
        <f t="shared" ca="1" si="388"/>
        <v>6.1833458482798198</v>
      </c>
      <c r="H839" s="307">
        <f t="shared" ca="1" si="389"/>
        <v>-104.98687666757499</v>
      </c>
      <c r="I839" s="304">
        <f t="shared" ca="1" si="390"/>
        <v>105.16880734463066</v>
      </c>
      <c r="J839" s="306">
        <f t="shared" ca="1" si="391"/>
        <v>745.87074281998321</v>
      </c>
      <c r="K839" s="307">
        <f t="shared" ca="1" si="392"/>
        <v>-12.01691922852488</v>
      </c>
      <c r="L839" s="304">
        <f t="shared" ca="1" si="377"/>
        <v>745.96754040814562</v>
      </c>
      <c r="M839" s="306">
        <f t="shared" ca="1" si="393"/>
        <v>-1.5119679157830284</v>
      </c>
      <c r="N839" s="304">
        <f t="shared" ca="1" si="394"/>
        <v>-86.629380333559013</v>
      </c>
      <c r="P839" s="310">
        <f t="shared" ca="1" si="395"/>
        <v>23</v>
      </c>
      <c r="Q839" s="304">
        <f t="shared" ca="1" si="396"/>
        <v>0</v>
      </c>
      <c r="R839" s="306">
        <f t="shared" ca="1" si="397"/>
        <v>0</v>
      </c>
      <c r="S839" s="307">
        <f t="shared" ca="1" si="398"/>
        <v>2.9792999999999985</v>
      </c>
      <c r="T839" s="304">
        <f t="shared" ca="1" si="378"/>
        <v>29.226932999999988</v>
      </c>
      <c r="U839" s="311">
        <f t="shared" ca="1" si="379"/>
        <v>0</v>
      </c>
      <c r="V839" s="306">
        <f t="shared" ca="1" si="380"/>
        <v>1.2264729576261353</v>
      </c>
      <c r="W839" s="304">
        <f t="shared" ca="1" si="381"/>
        <v>27.778241169301275</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0.46929997174120608</v>
      </c>
      <c r="AH839" s="304">
        <f t="shared" ca="1" si="405"/>
        <v>-9.3237294715485231</v>
      </c>
    </row>
    <row r="840" spans="1:34" x14ac:dyDescent="0.2">
      <c r="A840" s="347">
        <f t="shared" ca="1" si="383"/>
        <v>1E-4</v>
      </c>
      <c r="B840" s="304">
        <f t="shared" ca="1" si="384"/>
        <v>36.832000000001273</v>
      </c>
      <c r="D840" s="306">
        <f t="shared" ca="1" si="385"/>
        <v>-0.5481849357577353</v>
      </c>
      <c r="E840" s="307">
        <f t="shared" ca="1" si="386"/>
        <v>-0.50238149481309868</v>
      </c>
      <c r="F840" s="304">
        <f t="shared" ca="1" si="387"/>
        <v>0.74356834932799276</v>
      </c>
      <c r="G840" s="306">
        <f t="shared" ca="1" si="388"/>
        <v>6.1832910297862442</v>
      </c>
      <c r="H840" s="307">
        <f t="shared" ca="1" si="389"/>
        <v>-104.98692690572447</v>
      </c>
      <c r="I840" s="304">
        <f t="shared" ca="1" si="390"/>
        <v>105.16885427286431</v>
      </c>
      <c r="J840" s="306">
        <f t="shared" ca="1" si="391"/>
        <v>745.87074281998321</v>
      </c>
      <c r="K840" s="307">
        <f t="shared" ca="1" si="392"/>
        <v>-12.027417918703545</v>
      </c>
      <c r="L840" s="304">
        <f t="shared" ca="1" si="377"/>
        <v>745.96770960720858</v>
      </c>
      <c r="M840" s="306">
        <f t="shared" ca="1" si="393"/>
        <v>-1.5119684642095566</v>
      </c>
      <c r="N840" s="304">
        <f t="shared" ca="1" si="394"/>
        <v>-86.629411756084451</v>
      </c>
      <c r="P840" s="310">
        <f t="shared" ca="1" si="395"/>
        <v>23</v>
      </c>
      <c r="Q840" s="304">
        <f t="shared" ca="1" si="396"/>
        <v>0</v>
      </c>
      <c r="R840" s="306">
        <f t="shared" ca="1" si="397"/>
        <v>0</v>
      </c>
      <c r="S840" s="307">
        <f t="shared" ca="1" si="398"/>
        <v>2.9792999999999985</v>
      </c>
      <c r="T840" s="304">
        <f t="shared" ca="1" si="378"/>
        <v>29.226932999999988</v>
      </c>
      <c r="U840" s="311">
        <f t="shared" ca="1" si="379"/>
        <v>0</v>
      </c>
      <c r="V840" s="306">
        <f t="shared" ca="1" si="380"/>
        <v>1.226474245263236</v>
      </c>
      <c r="W840" s="304">
        <f t="shared" ca="1" si="381"/>
        <v>27.778295123185803</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0.46928217820022056</v>
      </c>
      <c r="AH840" s="304">
        <f t="shared" ca="1" si="405"/>
        <v>-9.3237475814121744</v>
      </c>
    </row>
    <row r="841" spans="1:34" x14ac:dyDescent="0.2">
      <c r="A841" s="347">
        <f t="shared" ca="1" si="383"/>
        <v>1E-4</v>
      </c>
      <c r="B841" s="304">
        <f t="shared" ca="1" si="384"/>
        <v>36.832100000001276</v>
      </c>
      <c r="D841" s="306">
        <f t="shared" ca="1" si="385"/>
        <v>-0.54818089594651553</v>
      </c>
      <c r="E841" s="307">
        <f t="shared" ca="1" si="386"/>
        <v>-0.50236311591807059</v>
      </c>
      <c r="F841" s="304">
        <f t="shared" ca="1" si="387"/>
        <v>0.743552953672862</v>
      </c>
      <c r="G841" s="306">
        <f t="shared" ca="1" si="388"/>
        <v>6.1832362116966495</v>
      </c>
      <c r="H841" s="307">
        <f t="shared" ca="1" si="389"/>
        <v>-104.98697714203607</v>
      </c>
      <c r="I841" s="304">
        <f t="shared" ca="1" si="390"/>
        <v>105.16890119931863</v>
      </c>
      <c r="J841" s="306">
        <f t="shared" ca="1" si="391"/>
        <v>745.87074281998321</v>
      </c>
      <c r="K841" s="307">
        <f t="shared" ca="1" si="392"/>
        <v>-12.037916613905933</v>
      </c>
      <c r="L841" s="304">
        <f t="shared" ca="1" si="377"/>
        <v>745.96787895407192</v>
      </c>
      <c r="M841" s="306">
        <f t="shared" ca="1" si="393"/>
        <v>-1.5119690126307332</v>
      </c>
      <c r="N841" s="304">
        <f t="shared" ca="1" si="394"/>
        <v>-86.629443178303276</v>
      </c>
      <c r="P841" s="310">
        <f t="shared" ca="1" si="395"/>
        <v>23</v>
      </c>
      <c r="Q841" s="304">
        <f t="shared" ca="1" si="396"/>
        <v>0</v>
      </c>
      <c r="R841" s="306">
        <f t="shared" ca="1" si="397"/>
        <v>0</v>
      </c>
      <c r="S841" s="307">
        <f t="shared" ca="1" si="398"/>
        <v>2.9792999999999985</v>
      </c>
      <c r="T841" s="304">
        <f t="shared" ca="1" si="378"/>
        <v>29.226932999999988</v>
      </c>
      <c r="U841" s="311">
        <f t="shared" ca="1" si="379"/>
        <v>0</v>
      </c>
      <c r="V841" s="306">
        <f t="shared" ca="1" si="380"/>
        <v>1.2264755329023056</v>
      </c>
      <c r="W841" s="304">
        <f t="shared" ca="1" si="381"/>
        <v>27.778349076238094</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0.46926438493254707</v>
      </c>
      <c r="AH841" s="304">
        <f t="shared" ca="1" si="405"/>
        <v>-9.3237656909964812</v>
      </c>
    </row>
    <row r="842" spans="1:34" x14ac:dyDescent="0.2">
      <c r="A842" s="347">
        <f t="shared" ca="1" si="383"/>
        <v>1E-4</v>
      </c>
      <c r="B842" s="304">
        <f t="shared" ca="1" si="384"/>
        <v>36.832200000001279</v>
      </c>
      <c r="D842" s="306">
        <f t="shared" ca="1" si="385"/>
        <v>-0.54817685614868839</v>
      </c>
      <c r="E842" s="307">
        <f t="shared" ca="1" si="386"/>
        <v>-0.50234473730646556</v>
      </c>
      <c r="F842" s="304">
        <f t="shared" ca="1" si="387"/>
        <v>0.74353755837655022</v>
      </c>
      <c r="G842" s="306">
        <f t="shared" ca="1" si="388"/>
        <v>6.1831813940110347</v>
      </c>
      <c r="H842" s="307">
        <f t="shared" ca="1" si="389"/>
        <v>-104.9870273765098</v>
      </c>
      <c r="I842" s="304">
        <f t="shared" ca="1" si="390"/>
        <v>105.16894812399363</v>
      </c>
      <c r="J842" s="306">
        <f t="shared" ca="1" si="391"/>
        <v>745.87074281998321</v>
      </c>
      <c r="K842" s="307">
        <f t="shared" ca="1" si="392"/>
        <v>-12.04841531413186</v>
      </c>
      <c r="L842" s="304">
        <f t="shared" ca="1" si="377"/>
        <v>745.96804844873566</v>
      </c>
      <c r="M842" s="306">
        <f t="shared" ca="1" si="393"/>
        <v>-1.5119695610465584</v>
      </c>
      <c r="N842" s="304">
        <f t="shared" ca="1" si="394"/>
        <v>-86.629474600215474</v>
      </c>
      <c r="P842" s="310">
        <f t="shared" ca="1" si="395"/>
        <v>23</v>
      </c>
      <c r="Q842" s="304">
        <f t="shared" ca="1" si="396"/>
        <v>0</v>
      </c>
      <c r="R842" s="306">
        <f t="shared" ca="1" si="397"/>
        <v>0</v>
      </c>
      <c r="S842" s="307">
        <f t="shared" ca="1" si="398"/>
        <v>2.9792999999999985</v>
      </c>
      <c r="T842" s="304">
        <f t="shared" ca="1" si="378"/>
        <v>29.226932999999988</v>
      </c>
      <c r="U842" s="311">
        <f t="shared" ca="1" si="379"/>
        <v>0</v>
      </c>
      <c r="V842" s="306">
        <f t="shared" ca="1" si="380"/>
        <v>1.2264768205433438</v>
      </c>
      <c r="W842" s="304">
        <f t="shared" ca="1" si="381"/>
        <v>27.778403028458133</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0.4692465919381803</v>
      </c>
      <c r="AH842" s="304">
        <f t="shared" ca="1" si="405"/>
        <v>-9.3237838003014488</v>
      </c>
    </row>
    <row r="843" spans="1:34" x14ac:dyDescent="0.2">
      <c r="A843" s="347">
        <f t="shared" ca="1" si="383"/>
        <v>1E-4</v>
      </c>
      <c r="B843" s="304">
        <f t="shared" ca="1" si="384"/>
        <v>36.832300000001283</v>
      </c>
      <c r="D843" s="306">
        <f t="shared" ca="1" si="385"/>
        <v>-0.54817281636425419</v>
      </c>
      <c r="E843" s="307">
        <f t="shared" ca="1" si="386"/>
        <v>-0.50232635897828537</v>
      </c>
      <c r="F843" s="304">
        <f t="shared" ca="1" si="387"/>
        <v>0.74352216343905952</v>
      </c>
      <c r="G843" s="306">
        <f t="shared" ca="1" si="388"/>
        <v>6.1831265767293981</v>
      </c>
      <c r="H843" s="307">
        <f t="shared" ca="1" si="389"/>
        <v>-104.9870776091457</v>
      </c>
      <c r="I843" s="304">
        <f t="shared" ca="1" si="390"/>
        <v>105.16899504688936</v>
      </c>
      <c r="J843" s="306">
        <f t="shared" ca="1" si="391"/>
        <v>745.87074281998321</v>
      </c>
      <c r="K843" s="307">
        <f t="shared" ca="1" si="392"/>
        <v>-12.058914019381143</v>
      </c>
      <c r="L843" s="304">
        <f t="shared" ca="1" si="377"/>
        <v>745.96821809120013</v>
      </c>
      <c r="M843" s="306">
        <f t="shared" ca="1" si="393"/>
        <v>-1.5119701094570324</v>
      </c>
      <c r="N843" s="304">
        <f t="shared" ca="1" si="394"/>
        <v>-86.629506021821072</v>
      </c>
      <c r="P843" s="310">
        <f t="shared" ca="1" si="395"/>
        <v>23</v>
      </c>
      <c r="Q843" s="304">
        <f t="shared" ca="1" si="396"/>
        <v>0</v>
      </c>
      <c r="R843" s="306">
        <f t="shared" ca="1" si="397"/>
        <v>0</v>
      </c>
      <c r="S843" s="307">
        <f t="shared" ca="1" si="398"/>
        <v>2.9792999999999985</v>
      </c>
      <c r="T843" s="304">
        <f t="shared" ca="1" si="378"/>
        <v>29.226932999999988</v>
      </c>
      <c r="U843" s="311">
        <f t="shared" ca="1" si="379"/>
        <v>0</v>
      </c>
      <c r="V843" s="306">
        <f t="shared" ca="1" si="380"/>
        <v>1.2264781081863507</v>
      </c>
      <c r="W843" s="304">
        <f t="shared" ca="1" si="381"/>
        <v>27.778456979845956</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0.46922879921712557</v>
      </c>
      <c r="AH843" s="304">
        <f t="shared" ca="1" si="405"/>
        <v>-9.3238019093270719</v>
      </c>
    </row>
    <row r="844" spans="1:34" x14ac:dyDescent="0.2">
      <c r="A844" s="347">
        <f t="shared" ca="1" si="383"/>
        <v>1E-4</v>
      </c>
      <c r="B844" s="304">
        <f t="shared" ca="1" si="384"/>
        <v>36.832400000001286</v>
      </c>
      <c r="D844" s="306">
        <f t="shared" ca="1" si="385"/>
        <v>-0.54816877659321239</v>
      </c>
      <c r="E844" s="307">
        <f t="shared" ca="1" si="386"/>
        <v>-0.50230798093351936</v>
      </c>
      <c r="F844" s="304">
        <f t="shared" ca="1" si="387"/>
        <v>0.74350676886038369</v>
      </c>
      <c r="G844" s="306">
        <f t="shared" ca="1" si="388"/>
        <v>6.1830717598517388</v>
      </c>
      <c r="H844" s="307">
        <f t="shared" ca="1" si="389"/>
        <v>-104.9871278399438</v>
      </c>
      <c r="I844" s="304">
        <f t="shared" ca="1" si="390"/>
        <v>105.16904196800586</v>
      </c>
      <c r="J844" s="306">
        <f t="shared" ca="1" si="391"/>
        <v>745.87074281998321</v>
      </c>
      <c r="K844" s="307">
        <f t="shared" ca="1" si="392"/>
        <v>-12.069412729653598</v>
      </c>
      <c r="L844" s="304">
        <f t="shared" ca="1" si="377"/>
        <v>745.96838788146533</v>
      </c>
      <c r="M844" s="306">
        <f t="shared" ca="1" si="393"/>
        <v>-1.5119706578621548</v>
      </c>
      <c r="N844" s="304">
        <f t="shared" ca="1" si="394"/>
        <v>-86.629537443120057</v>
      </c>
      <c r="P844" s="310">
        <f t="shared" ca="1" si="395"/>
        <v>23</v>
      </c>
      <c r="Q844" s="304">
        <f t="shared" ca="1" si="396"/>
        <v>0</v>
      </c>
      <c r="R844" s="306">
        <f t="shared" ca="1" si="397"/>
        <v>0</v>
      </c>
      <c r="S844" s="307">
        <f t="shared" ca="1" si="398"/>
        <v>2.9792999999999985</v>
      </c>
      <c r="T844" s="304">
        <f t="shared" ca="1" si="378"/>
        <v>29.226932999999988</v>
      </c>
      <c r="U844" s="311">
        <f t="shared" ca="1" si="379"/>
        <v>0</v>
      </c>
      <c r="V844" s="306">
        <f t="shared" ca="1" si="380"/>
        <v>1.2264793958313265</v>
      </c>
      <c r="W844" s="304">
        <f t="shared" ca="1" si="381"/>
        <v>27.778510930401559</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0.46921100676937222</v>
      </c>
      <c r="AH844" s="304">
        <f t="shared" ca="1" si="405"/>
        <v>-9.3238200180733628</v>
      </c>
    </row>
    <row r="845" spans="1:34" x14ac:dyDescent="0.2">
      <c r="A845" s="347">
        <f t="shared" ca="1" si="383"/>
        <v>1E-4</v>
      </c>
      <c r="B845" s="304">
        <f t="shared" ca="1" si="384"/>
        <v>36.832500000001289</v>
      </c>
      <c r="D845" s="306">
        <f t="shared" ca="1" si="385"/>
        <v>-0.54816473683556555</v>
      </c>
      <c r="E845" s="307">
        <f t="shared" ca="1" si="386"/>
        <v>-0.50228960317216931</v>
      </c>
      <c r="F845" s="304">
        <f t="shared" ca="1" si="387"/>
        <v>0.74349137464052673</v>
      </c>
      <c r="G845" s="306">
        <f t="shared" ca="1" si="388"/>
        <v>6.1830169433780551</v>
      </c>
      <c r="H845" s="307">
        <f t="shared" ca="1" si="389"/>
        <v>-104.98717806890411</v>
      </c>
      <c r="I845" s="304">
        <f t="shared" ca="1" si="390"/>
        <v>105.16908888734314</v>
      </c>
      <c r="J845" s="306">
        <f t="shared" ca="1" si="391"/>
        <v>745.87074281998321</v>
      </c>
      <c r="K845" s="307">
        <f t="shared" ca="1" si="392"/>
        <v>-12.07991144494904</v>
      </c>
      <c r="L845" s="304">
        <f t="shared" ca="1" si="377"/>
        <v>745.96855781953127</v>
      </c>
      <c r="M845" s="306">
        <f t="shared" ca="1" si="393"/>
        <v>-1.5119712062619262</v>
      </c>
      <c r="N845" s="304">
        <f t="shared" ca="1" si="394"/>
        <v>-86.629568864112443</v>
      </c>
      <c r="P845" s="310">
        <f t="shared" ca="1" si="395"/>
        <v>23</v>
      </c>
      <c r="Q845" s="304">
        <f t="shared" ca="1" si="396"/>
        <v>0</v>
      </c>
      <c r="R845" s="306">
        <f t="shared" ca="1" si="397"/>
        <v>0</v>
      </c>
      <c r="S845" s="307">
        <f t="shared" ca="1" si="398"/>
        <v>2.9792999999999985</v>
      </c>
      <c r="T845" s="304">
        <f t="shared" ca="1" si="378"/>
        <v>29.226932999999988</v>
      </c>
      <c r="U845" s="311">
        <f t="shared" ca="1" si="379"/>
        <v>0</v>
      </c>
      <c r="V845" s="306">
        <f t="shared" ca="1" si="380"/>
        <v>1.2264806834782709</v>
      </c>
      <c r="W845" s="304">
        <f t="shared" ca="1" si="381"/>
        <v>27.778564880124975</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0.46919321459492025</v>
      </c>
      <c r="AH845" s="304">
        <f t="shared" ca="1" si="405"/>
        <v>-9.3238381265403198</v>
      </c>
    </row>
    <row r="846" spans="1:34" x14ac:dyDescent="0.2">
      <c r="A846" s="347">
        <f t="shared" ca="1" si="383"/>
        <v>1E-4</v>
      </c>
      <c r="B846" s="304">
        <f t="shared" ca="1" si="384"/>
        <v>36.832600000001293</v>
      </c>
      <c r="D846" s="306">
        <f t="shared" ca="1" si="385"/>
        <v>-0.5481606970913111</v>
      </c>
      <c r="E846" s="307">
        <f t="shared" ca="1" si="386"/>
        <v>-0.50227122569422633</v>
      </c>
      <c r="F846" s="304">
        <f t="shared" ca="1" si="387"/>
        <v>0.74347598077948185</v>
      </c>
      <c r="G846" s="306">
        <f t="shared" ca="1" si="388"/>
        <v>6.1829621273083459</v>
      </c>
      <c r="H846" s="307">
        <f t="shared" ca="1" si="389"/>
        <v>-104.98722829602669</v>
      </c>
      <c r="I846" s="304">
        <f t="shared" ca="1" si="390"/>
        <v>105.16913580490122</v>
      </c>
      <c r="J846" s="306">
        <f t="shared" ca="1" si="391"/>
        <v>745.87074281998321</v>
      </c>
      <c r="K846" s="307">
        <f t="shared" ca="1" si="392"/>
        <v>-12.090410165267286</v>
      </c>
      <c r="L846" s="304">
        <f t="shared" ca="1" si="377"/>
        <v>745.96872790539805</v>
      </c>
      <c r="M846" s="306">
        <f t="shared" ca="1" si="393"/>
        <v>-1.5119717546563463</v>
      </c>
      <c r="N846" s="304">
        <f t="shared" ca="1" si="394"/>
        <v>-86.629600284798215</v>
      </c>
      <c r="P846" s="310">
        <f t="shared" ca="1" si="395"/>
        <v>23</v>
      </c>
      <c r="Q846" s="304">
        <f t="shared" ca="1" si="396"/>
        <v>0</v>
      </c>
      <c r="R846" s="306">
        <f t="shared" ca="1" si="397"/>
        <v>0</v>
      </c>
      <c r="S846" s="307">
        <f t="shared" ca="1" si="398"/>
        <v>2.9792999999999985</v>
      </c>
      <c r="T846" s="304">
        <f t="shared" ca="1" si="378"/>
        <v>29.226932999999988</v>
      </c>
      <c r="U846" s="311">
        <f t="shared" ca="1" si="379"/>
        <v>0</v>
      </c>
      <c r="V846" s="306">
        <f t="shared" ca="1" si="380"/>
        <v>1.2264819711271844</v>
      </c>
      <c r="W846" s="304">
        <f t="shared" ca="1" si="381"/>
        <v>27.778618829016185</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0.46917542269376256</v>
      </c>
      <c r="AH846" s="304">
        <f t="shared" ca="1" si="405"/>
        <v>-9.3238562347279519</v>
      </c>
    </row>
    <row r="847" spans="1:34" x14ac:dyDescent="0.2">
      <c r="A847" s="347">
        <f t="shared" ca="1" si="383"/>
        <v>1E-4</v>
      </c>
      <c r="B847" s="304">
        <f t="shared" ca="1" si="384"/>
        <v>36.832700000001296</v>
      </c>
      <c r="D847" s="306">
        <f t="shared" ca="1" si="385"/>
        <v>-0.54815665736045149</v>
      </c>
      <c r="E847" s="307">
        <f t="shared" ca="1" si="386"/>
        <v>-0.50225284849969221</v>
      </c>
      <c r="F847" s="304">
        <f t="shared" ca="1" si="387"/>
        <v>0.74346058727725328</v>
      </c>
      <c r="G847" s="306">
        <f t="shared" ca="1" si="388"/>
        <v>6.1829073116426096</v>
      </c>
      <c r="H847" s="307">
        <f t="shared" ca="1" si="389"/>
        <v>-104.98727852131154</v>
      </c>
      <c r="I847" s="304">
        <f t="shared" ca="1" si="390"/>
        <v>105.16918272068015</v>
      </c>
      <c r="J847" s="306">
        <f t="shared" ca="1" si="391"/>
        <v>745.87074281998321</v>
      </c>
      <c r="K847" s="307">
        <f t="shared" ca="1" si="392"/>
        <v>-12.100908890608153</v>
      </c>
      <c r="L847" s="304">
        <f t="shared" ca="1" si="377"/>
        <v>745.96889813906603</v>
      </c>
      <c r="M847" s="306">
        <f t="shared" ca="1" si="393"/>
        <v>-1.5119723030454153</v>
      </c>
      <c r="N847" s="304">
        <f t="shared" ca="1" si="394"/>
        <v>-86.629631705177403</v>
      </c>
      <c r="P847" s="310">
        <f t="shared" ca="1" si="395"/>
        <v>23</v>
      </c>
      <c r="Q847" s="304">
        <f t="shared" ca="1" si="396"/>
        <v>0</v>
      </c>
      <c r="R847" s="306">
        <f t="shared" ca="1" si="397"/>
        <v>0</v>
      </c>
      <c r="S847" s="307">
        <f t="shared" ca="1" si="398"/>
        <v>2.9792999999999985</v>
      </c>
      <c r="T847" s="304">
        <f t="shared" ca="1" si="378"/>
        <v>29.226932999999988</v>
      </c>
      <c r="U847" s="311">
        <f t="shared" ca="1" si="379"/>
        <v>0</v>
      </c>
      <c r="V847" s="306">
        <f t="shared" ca="1" si="380"/>
        <v>1.2264832587780661</v>
      </c>
      <c r="W847" s="304">
        <f t="shared" ca="1" si="381"/>
        <v>27.778672777075219</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0.46915763106589914</v>
      </c>
      <c r="AH847" s="304">
        <f t="shared" ca="1" si="405"/>
        <v>-9.3238743426362571</v>
      </c>
    </row>
    <row r="848" spans="1:34" x14ac:dyDescent="0.2">
      <c r="A848" s="347">
        <f t="shared" ca="1" si="383"/>
        <v>1E-4</v>
      </c>
      <c r="B848" s="304">
        <f t="shared" ca="1" si="384"/>
        <v>36.832800000001299</v>
      </c>
      <c r="D848" s="306">
        <f t="shared" ca="1" si="385"/>
        <v>-0.54815261764298595</v>
      </c>
      <c r="E848" s="307">
        <f t="shared" ca="1" si="386"/>
        <v>-0.50223447158855983</v>
      </c>
      <c r="F848" s="304">
        <f t="shared" ca="1" si="387"/>
        <v>0.74344519413383625</v>
      </c>
      <c r="G848" s="306">
        <f t="shared" ca="1" si="388"/>
        <v>6.1828524963808453</v>
      </c>
      <c r="H848" s="307">
        <f t="shared" ca="1" si="389"/>
        <v>-104.9873287447587</v>
      </c>
      <c r="I848" s="304">
        <f t="shared" ca="1" si="390"/>
        <v>105.16922963467992</v>
      </c>
      <c r="J848" s="306">
        <f t="shared" ca="1" si="391"/>
        <v>745.87074281998321</v>
      </c>
      <c r="K848" s="307">
        <f t="shared" ca="1" si="392"/>
        <v>-12.111407620971457</v>
      </c>
      <c r="L848" s="304">
        <f t="shared" ca="1" si="377"/>
        <v>745.96906852053507</v>
      </c>
      <c r="M848" s="306">
        <f t="shared" ca="1" si="393"/>
        <v>-1.5119728514291333</v>
      </c>
      <c r="N848" s="304">
        <f t="shared" ca="1" si="394"/>
        <v>-86.629663125250005</v>
      </c>
      <c r="P848" s="310">
        <f t="shared" ca="1" si="395"/>
        <v>23</v>
      </c>
      <c r="Q848" s="304">
        <f t="shared" ca="1" si="396"/>
        <v>0</v>
      </c>
      <c r="R848" s="306">
        <f t="shared" ca="1" si="397"/>
        <v>0</v>
      </c>
      <c r="S848" s="307">
        <f t="shared" ca="1" si="398"/>
        <v>2.9792999999999985</v>
      </c>
      <c r="T848" s="304">
        <f t="shared" ca="1" si="378"/>
        <v>29.226932999999988</v>
      </c>
      <c r="U848" s="311">
        <f t="shared" ca="1" si="379"/>
        <v>0</v>
      </c>
      <c r="V848" s="306">
        <f t="shared" ca="1" si="380"/>
        <v>1.2264845464309169</v>
      </c>
      <c r="W848" s="304">
        <f t="shared" ca="1" si="381"/>
        <v>27.778726724302071</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0.46913983971132467</v>
      </c>
      <c r="AH848" s="304">
        <f t="shared" ca="1" si="405"/>
        <v>-9.3238924502652409</v>
      </c>
    </row>
    <row r="849" spans="1:34" x14ac:dyDescent="0.2">
      <c r="A849" s="347">
        <f t="shared" ca="1" si="383"/>
        <v>1E-4</v>
      </c>
      <c r="B849" s="304">
        <f t="shared" ca="1" si="384"/>
        <v>36.832900000001302</v>
      </c>
      <c r="D849" s="306">
        <f t="shared" ca="1" si="385"/>
        <v>-0.54814857793891514</v>
      </c>
      <c r="E849" s="307">
        <f t="shared" ca="1" si="386"/>
        <v>-0.5022160949608292</v>
      </c>
      <c r="F849" s="304">
        <f t="shared" ca="1" si="387"/>
        <v>0.74342980134923264</v>
      </c>
      <c r="G849" s="306">
        <f t="shared" ca="1" si="388"/>
        <v>6.1827976815230512</v>
      </c>
      <c r="H849" s="307">
        <f t="shared" ca="1" si="389"/>
        <v>-104.9873789663682</v>
      </c>
      <c r="I849" s="304">
        <f t="shared" ca="1" si="390"/>
        <v>105.1692765469006</v>
      </c>
      <c r="J849" s="306">
        <f t="shared" ca="1" si="391"/>
        <v>745.87074281998321</v>
      </c>
      <c r="K849" s="307">
        <f t="shared" ca="1" si="392"/>
        <v>-12.121906356357014</v>
      </c>
      <c r="L849" s="304">
        <f t="shared" ca="1" si="377"/>
        <v>745.96923904980542</v>
      </c>
      <c r="M849" s="306">
        <f t="shared" ca="1" si="393"/>
        <v>-1.5119733998075002</v>
      </c>
      <c r="N849" s="304">
        <f t="shared" ca="1" si="394"/>
        <v>-86.629694545015994</v>
      </c>
      <c r="P849" s="310">
        <f t="shared" ca="1" si="395"/>
        <v>23</v>
      </c>
      <c r="Q849" s="304">
        <f t="shared" ca="1" si="396"/>
        <v>0</v>
      </c>
      <c r="R849" s="306">
        <f t="shared" ca="1" si="397"/>
        <v>0</v>
      </c>
      <c r="S849" s="307">
        <f t="shared" ca="1" si="398"/>
        <v>2.9792999999999985</v>
      </c>
      <c r="T849" s="304">
        <f t="shared" ca="1" si="378"/>
        <v>29.226932999999988</v>
      </c>
      <c r="U849" s="311">
        <f t="shared" ca="1" si="379"/>
        <v>0</v>
      </c>
      <c r="V849" s="306">
        <f t="shared" ca="1" si="380"/>
        <v>1.2264858340857365</v>
      </c>
      <c r="W849" s="304">
        <f t="shared" ca="1" si="381"/>
        <v>27.778780670696772</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0.4691220486300427</v>
      </c>
      <c r="AH849" s="304">
        <f t="shared" ca="1" si="405"/>
        <v>-9.3239105576149051</v>
      </c>
    </row>
    <row r="850" spans="1:34" x14ac:dyDescent="0.2">
      <c r="A850" s="347">
        <f t="shared" ca="1" si="383"/>
        <v>1E-4</v>
      </c>
      <c r="B850" s="304">
        <f t="shared" ca="1" si="384"/>
        <v>36.833000000001306</v>
      </c>
      <c r="D850" s="306">
        <f t="shared" ca="1" si="385"/>
        <v>-0.54814453824824039</v>
      </c>
      <c r="E850" s="307">
        <f t="shared" ca="1" si="386"/>
        <v>-0.5021977186164932</v>
      </c>
      <c r="F850" s="304">
        <f t="shared" ca="1" si="387"/>
        <v>0.74341440892343968</v>
      </c>
      <c r="G850" s="306">
        <f t="shared" ca="1" si="388"/>
        <v>6.1827428670692264</v>
      </c>
      <c r="H850" s="307">
        <f t="shared" ca="1" si="389"/>
        <v>-104.98742918614006</v>
      </c>
      <c r="I850" s="304">
        <f t="shared" ca="1" si="390"/>
        <v>105.1693234573422</v>
      </c>
      <c r="J850" s="306">
        <f t="shared" ca="1" si="391"/>
        <v>745.87074281998321</v>
      </c>
      <c r="K850" s="307">
        <f t="shared" ca="1" si="392"/>
        <v>-12.132405096764639</v>
      </c>
      <c r="L850" s="304">
        <f t="shared" ca="1" si="377"/>
        <v>745.96940972687719</v>
      </c>
      <c r="M850" s="306">
        <f t="shared" ca="1" si="393"/>
        <v>-1.5119739481805163</v>
      </c>
      <c r="N850" s="304">
        <f t="shared" ca="1" si="394"/>
        <v>-86.629725964475426</v>
      </c>
      <c r="P850" s="310">
        <f t="shared" ca="1" si="395"/>
        <v>23</v>
      </c>
      <c r="Q850" s="304">
        <f t="shared" ca="1" si="396"/>
        <v>0</v>
      </c>
      <c r="R850" s="306">
        <f t="shared" ca="1" si="397"/>
        <v>0</v>
      </c>
      <c r="S850" s="307">
        <f t="shared" ca="1" si="398"/>
        <v>2.9792999999999985</v>
      </c>
      <c r="T850" s="304">
        <f t="shared" ca="1" si="378"/>
        <v>29.226932999999988</v>
      </c>
      <c r="U850" s="311">
        <f t="shared" ca="1" si="379"/>
        <v>0</v>
      </c>
      <c r="V850" s="306">
        <f t="shared" ca="1" si="380"/>
        <v>1.2264871217425239</v>
      </c>
      <c r="W850" s="304">
        <f t="shared" ca="1" si="381"/>
        <v>27.778834616259296</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0.46910425782204079</v>
      </c>
      <c r="AH850" s="304">
        <f t="shared" ca="1" si="405"/>
        <v>-9.3239286646852566</v>
      </c>
    </row>
    <row r="851" spans="1:34" x14ac:dyDescent="0.2">
      <c r="A851" s="347">
        <f t="shared" ca="1" si="383"/>
        <v>1E-4</v>
      </c>
      <c r="B851" s="304">
        <f t="shared" ca="1" si="384"/>
        <v>36.833100000001309</v>
      </c>
      <c r="D851" s="306">
        <f t="shared" ca="1" si="385"/>
        <v>-0.54814049857095992</v>
      </c>
      <c r="E851" s="307">
        <f t="shared" ca="1" si="386"/>
        <v>-0.50217934255555718</v>
      </c>
      <c r="F851" s="304">
        <f t="shared" ca="1" si="387"/>
        <v>0.74339901685646059</v>
      </c>
      <c r="G851" s="306">
        <f t="shared" ca="1" si="388"/>
        <v>6.1826880530193691</v>
      </c>
      <c r="H851" s="307">
        <f t="shared" ca="1" si="389"/>
        <v>-104.98747940407432</v>
      </c>
      <c r="I851" s="304">
        <f t="shared" ca="1" si="390"/>
        <v>105.16937036600476</v>
      </c>
      <c r="J851" s="306">
        <f t="shared" ca="1" si="391"/>
        <v>745.87074281998321</v>
      </c>
      <c r="K851" s="307">
        <f t="shared" ca="1" si="392"/>
        <v>-12.14290384219415</v>
      </c>
      <c r="L851" s="304">
        <f t="shared" ca="1" si="377"/>
        <v>745.96958055175025</v>
      </c>
      <c r="M851" s="306">
        <f t="shared" ca="1" si="393"/>
        <v>-1.5119744965481814</v>
      </c>
      <c r="N851" s="304">
        <f t="shared" ca="1" si="394"/>
        <v>-86.629757383628245</v>
      </c>
      <c r="P851" s="310">
        <f t="shared" ca="1" si="395"/>
        <v>23</v>
      </c>
      <c r="Q851" s="304">
        <f t="shared" ca="1" si="396"/>
        <v>0</v>
      </c>
      <c r="R851" s="306">
        <f t="shared" ca="1" si="397"/>
        <v>0</v>
      </c>
      <c r="S851" s="307">
        <f t="shared" ca="1" si="398"/>
        <v>2.9792999999999985</v>
      </c>
      <c r="T851" s="304">
        <f t="shared" ca="1" si="378"/>
        <v>29.226932999999988</v>
      </c>
      <c r="U851" s="311">
        <f t="shared" ca="1" si="379"/>
        <v>0</v>
      </c>
      <c r="V851" s="306">
        <f t="shared" ca="1" si="380"/>
        <v>1.2264884094012809</v>
      </c>
      <c r="W851" s="304">
        <f t="shared" ca="1" si="381"/>
        <v>27.778888560989703</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0.46908646728732428</v>
      </c>
      <c r="AH851" s="304">
        <f t="shared" ca="1" si="405"/>
        <v>-9.3239467714762903</v>
      </c>
    </row>
    <row r="852" spans="1:34" x14ac:dyDescent="0.2">
      <c r="A852" s="347">
        <f t="shared" ca="1" si="383"/>
        <v>1E-4</v>
      </c>
      <c r="B852" s="304">
        <f t="shared" ca="1" si="384"/>
        <v>36.833200000001312</v>
      </c>
      <c r="D852" s="306">
        <f t="shared" ca="1" si="385"/>
        <v>-0.54813645890707774</v>
      </c>
      <c r="E852" s="307">
        <f t="shared" ca="1" si="386"/>
        <v>-0.50216096677800159</v>
      </c>
      <c r="F852" s="304">
        <f t="shared" ca="1" si="387"/>
        <v>0.74338362514828626</v>
      </c>
      <c r="G852" s="306">
        <f t="shared" ca="1" si="388"/>
        <v>6.1826332393734784</v>
      </c>
      <c r="H852" s="307">
        <f t="shared" ca="1" si="389"/>
        <v>-104.987529620171</v>
      </c>
      <c r="I852" s="304">
        <f t="shared" ca="1" si="390"/>
        <v>105.16941727288827</v>
      </c>
      <c r="J852" s="306">
        <f t="shared" ca="1" si="391"/>
        <v>745.87074281998321</v>
      </c>
      <c r="K852" s="307">
        <f t="shared" ca="1" si="392"/>
        <v>-12.153402592645362</v>
      </c>
      <c r="L852" s="304">
        <f t="shared" ca="1" si="377"/>
        <v>745.96975152442508</v>
      </c>
      <c r="M852" s="306">
        <f t="shared" ca="1" si="393"/>
        <v>-1.5119750449104958</v>
      </c>
      <c r="N852" s="304">
        <f t="shared" ca="1" si="394"/>
        <v>-86.629788802474508</v>
      </c>
      <c r="P852" s="310">
        <f t="shared" ca="1" si="395"/>
        <v>23</v>
      </c>
      <c r="Q852" s="304">
        <f t="shared" ca="1" si="396"/>
        <v>0</v>
      </c>
      <c r="R852" s="306">
        <f t="shared" ca="1" si="397"/>
        <v>0</v>
      </c>
      <c r="S852" s="307">
        <f t="shared" ca="1" si="398"/>
        <v>2.9792999999999985</v>
      </c>
      <c r="T852" s="304">
        <f t="shared" ca="1" si="378"/>
        <v>29.226932999999988</v>
      </c>
      <c r="U852" s="311">
        <f t="shared" ca="1" si="379"/>
        <v>0</v>
      </c>
      <c r="V852" s="306">
        <f t="shared" ca="1" si="380"/>
        <v>1.2264896970620058</v>
      </c>
      <c r="W852" s="304">
        <f t="shared" ca="1" si="381"/>
        <v>27.778942504887954</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0.46906867702587896</v>
      </c>
      <c r="AH852" s="304">
        <f t="shared" ca="1" si="405"/>
        <v>-9.3239648779880238</v>
      </c>
    </row>
    <row r="853" spans="1:34" x14ac:dyDescent="0.2">
      <c r="A853" s="347">
        <f t="shared" ca="1" si="383"/>
        <v>1E-4</v>
      </c>
      <c r="B853" s="304">
        <f t="shared" ca="1" si="384"/>
        <v>36.833300000001316</v>
      </c>
      <c r="D853" s="306">
        <f t="shared" ca="1" si="385"/>
        <v>-0.54813241925658962</v>
      </c>
      <c r="E853" s="307">
        <f t="shared" ca="1" si="386"/>
        <v>-0.50214259128384064</v>
      </c>
      <c r="F853" s="304">
        <f t="shared" ca="1" si="387"/>
        <v>0.74336823379892414</v>
      </c>
      <c r="G853" s="306">
        <f t="shared" ca="1" si="388"/>
        <v>6.1825784261315526</v>
      </c>
      <c r="H853" s="307">
        <f t="shared" ca="1" si="389"/>
        <v>-104.98757983443014</v>
      </c>
      <c r="I853" s="304">
        <f t="shared" ca="1" si="390"/>
        <v>105.16946417799279</v>
      </c>
      <c r="J853" s="306">
        <f t="shared" ca="1" si="391"/>
        <v>745.87074281998321</v>
      </c>
      <c r="K853" s="307">
        <f t="shared" ca="1" si="392"/>
        <v>-12.163901348118092</v>
      </c>
      <c r="L853" s="304">
        <f t="shared" ca="1" si="377"/>
        <v>745.96992264490143</v>
      </c>
      <c r="M853" s="306">
        <f t="shared" ca="1" si="393"/>
        <v>-1.5119755932674595</v>
      </c>
      <c r="N853" s="304">
        <f t="shared" ca="1" si="394"/>
        <v>-86.629820221014199</v>
      </c>
      <c r="P853" s="310">
        <f t="shared" ca="1" si="395"/>
        <v>23</v>
      </c>
      <c r="Q853" s="304">
        <f t="shared" ca="1" si="396"/>
        <v>0</v>
      </c>
      <c r="R853" s="306">
        <f t="shared" ca="1" si="397"/>
        <v>0</v>
      </c>
      <c r="S853" s="307">
        <f t="shared" ca="1" si="398"/>
        <v>2.9792999999999985</v>
      </c>
      <c r="T853" s="304">
        <f t="shared" ca="1" si="378"/>
        <v>29.226932999999988</v>
      </c>
      <c r="U853" s="311">
        <f t="shared" ca="1" si="379"/>
        <v>0</v>
      </c>
      <c r="V853" s="306">
        <f t="shared" ca="1" si="380"/>
        <v>1.2264909847246996</v>
      </c>
      <c r="W853" s="304">
        <f t="shared" ca="1" si="381"/>
        <v>27.778996447954093</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0.46905088703771369</v>
      </c>
      <c r="AH853" s="304">
        <f t="shared" ca="1" si="405"/>
        <v>-9.3239829842204447</v>
      </c>
    </row>
    <row r="854" spans="1:34" x14ac:dyDescent="0.2">
      <c r="A854" s="347">
        <f t="shared" ca="1" si="383"/>
        <v>1E-4</v>
      </c>
      <c r="B854" s="304">
        <f t="shared" ca="1" si="384"/>
        <v>36.833400000001319</v>
      </c>
      <c r="D854" s="306">
        <f t="shared" ca="1" si="385"/>
        <v>-0.54812837961949934</v>
      </c>
      <c r="E854" s="307">
        <f t="shared" ca="1" si="386"/>
        <v>-0.50212421607306013</v>
      </c>
      <c r="F854" s="304">
        <f t="shared" ca="1" si="387"/>
        <v>0.74335284280836866</v>
      </c>
      <c r="G854" s="306">
        <f t="shared" ca="1" si="388"/>
        <v>6.1825236132935908</v>
      </c>
      <c r="H854" s="307">
        <f t="shared" ca="1" si="389"/>
        <v>-104.98763004685175</v>
      </c>
      <c r="I854" s="304">
        <f t="shared" ca="1" si="390"/>
        <v>105.16951108131835</v>
      </c>
      <c r="J854" s="306">
        <f t="shared" ca="1" si="391"/>
        <v>745.87074281998321</v>
      </c>
      <c r="K854" s="307">
        <f t="shared" ca="1" si="392"/>
        <v>-12.174400108612156</v>
      </c>
      <c r="L854" s="304">
        <f t="shared" ca="1" si="377"/>
        <v>745.97009391317965</v>
      </c>
      <c r="M854" s="306">
        <f t="shared" ca="1" si="393"/>
        <v>-1.5119761416190725</v>
      </c>
      <c r="N854" s="304">
        <f t="shared" ca="1" si="394"/>
        <v>-86.629851639247306</v>
      </c>
      <c r="P854" s="310">
        <f t="shared" ca="1" si="395"/>
        <v>23</v>
      </c>
      <c r="Q854" s="304">
        <f t="shared" ca="1" si="396"/>
        <v>0</v>
      </c>
      <c r="R854" s="306">
        <f t="shared" ca="1" si="397"/>
        <v>0</v>
      </c>
      <c r="S854" s="307">
        <f t="shared" ca="1" si="398"/>
        <v>2.9792999999999985</v>
      </c>
      <c r="T854" s="304">
        <f t="shared" ca="1" si="378"/>
        <v>29.226932999999988</v>
      </c>
      <c r="U854" s="311">
        <f t="shared" ca="1" si="379"/>
        <v>0</v>
      </c>
      <c r="V854" s="306">
        <f t="shared" ca="1" si="380"/>
        <v>1.2264922723893619</v>
      </c>
      <c r="W854" s="304">
        <f t="shared" ca="1" si="381"/>
        <v>27.779050390188122</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0.46903309732281606</v>
      </c>
      <c r="AH854" s="304">
        <f t="shared" ca="1" si="405"/>
        <v>-9.3240010901735673</v>
      </c>
    </row>
    <row r="855" spans="1:34" x14ac:dyDescent="0.2">
      <c r="A855" s="347">
        <f t="shared" ca="1" si="383"/>
        <v>1E-4</v>
      </c>
      <c r="B855" s="304">
        <f t="shared" ca="1" si="384"/>
        <v>36.833500000001322</v>
      </c>
      <c r="D855" s="306">
        <f t="shared" ca="1" si="385"/>
        <v>-0.54812433999580557</v>
      </c>
      <c r="E855" s="307">
        <f t="shared" ca="1" si="386"/>
        <v>-0.50210584114565648</v>
      </c>
      <c r="F855" s="304">
        <f t="shared" ca="1" si="387"/>
        <v>0.74333745217661717</v>
      </c>
      <c r="G855" s="306">
        <f t="shared" ca="1" si="388"/>
        <v>6.1824688008595912</v>
      </c>
      <c r="H855" s="307">
        <f t="shared" ca="1" si="389"/>
        <v>-104.98768025743587</v>
      </c>
      <c r="I855" s="304">
        <f t="shared" ca="1" si="390"/>
        <v>105.16955798286493</v>
      </c>
      <c r="J855" s="306">
        <f t="shared" ca="1" si="391"/>
        <v>745.87074281998321</v>
      </c>
      <c r="K855" s="307">
        <f t="shared" ca="1" si="392"/>
        <v>-12.18489887412737</v>
      </c>
      <c r="L855" s="304">
        <f t="shared" ca="1" si="377"/>
        <v>745.97026532925986</v>
      </c>
      <c r="M855" s="306">
        <f t="shared" ca="1" si="393"/>
        <v>-1.5119766899653349</v>
      </c>
      <c r="N855" s="304">
        <f t="shared" ca="1" si="394"/>
        <v>-86.629883057173856</v>
      </c>
      <c r="P855" s="310">
        <f t="shared" ca="1" si="395"/>
        <v>23</v>
      </c>
      <c r="Q855" s="304">
        <f t="shared" ca="1" si="396"/>
        <v>0</v>
      </c>
      <c r="R855" s="306">
        <f t="shared" ca="1" si="397"/>
        <v>0</v>
      </c>
      <c r="S855" s="307">
        <f t="shared" ca="1" si="398"/>
        <v>2.9792999999999985</v>
      </c>
      <c r="T855" s="304">
        <f t="shared" ca="1" si="378"/>
        <v>29.226932999999988</v>
      </c>
      <c r="U855" s="311">
        <f t="shared" ca="1" si="379"/>
        <v>0</v>
      </c>
      <c r="V855" s="306">
        <f t="shared" ca="1" si="380"/>
        <v>1.2264935600559927</v>
      </c>
      <c r="W855" s="304">
        <f t="shared" ca="1" si="381"/>
        <v>27.779104331590023</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0.46901530788118961</v>
      </c>
      <c r="AH855" s="304">
        <f t="shared" ca="1" si="405"/>
        <v>-9.3240191958473915</v>
      </c>
    </row>
    <row r="856" spans="1:34" x14ac:dyDescent="0.2">
      <c r="A856" s="347">
        <f t="shared" ca="1" si="383"/>
        <v>1E-4</v>
      </c>
      <c r="B856" s="304">
        <f t="shared" ca="1" si="384"/>
        <v>36.833600000001326</v>
      </c>
      <c r="D856" s="306">
        <f t="shared" ca="1" si="385"/>
        <v>-0.54812030038550874</v>
      </c>
      <c r="E856" s="307">
        <f t="shared" ca="1" si="386"/>
        <v>-0.50208746650163683</v>
      </c>
      <c r="F856" s="304">
        <f t="shared" ca="1" si="387"/>
        <v>0.74332206190367611</v>
      </c>
      <c r="G856" s="306">
        <f t="shared" ca="1" si="388"/>
        <v>6.1824139888295528</v>
      </c>
      <c r="H856" s="307">
        <f t="shared" ca="1" si="389"/>
        <v>-104.98773046618253</v>
      </c>
      <c r="I856" s="304">
        <f t="shared" ca="1" si="390"/>
        <v>105.16960488263263</v>
      </c>
      <c r="J856" s="306">
        <f t="shared" ca="1" si="391"/>
        <v>745.87074281998321</v>
      </c>
      <c r="K856" s="307">
        <f t="shared" ca="1" si="392"/>
        <v>-12.195397644663551</v>
      </c>
      <c r="L856" s="304">
        <f t="shared" ca="1" si="377"/>
        <v>745.97043689314194</v>
      </c>
      <c r="M856" s="306">
        <f t="shared" ca="1" si="393"/>
        <v>-1.5119772383062466</v>
      </c>
      <c r="N856" s="304">
        <f t="shared" ca="1" si="394"/>
        <v>-86.629914474793836</v>
      </c>
      <c r="P856" s="310">
        <f t="shared" ca="1" si="395"/>
        <v>23</v>
      </c>
      <c r="Q856" s="304">
        <f t="shared" ca="1" si="396"/>
        <v>0</v>
      </c>
      <c r="R856" s="306">
        <f t="shared" ca="1" si="397"/>
        <v>0</v>
      </c>
      <c r="S856" s="307">
        <f t="shared" ca="1" si="398"/>
        <v>2.9792999999999985</v>
      </c>
      <c r="T856" s="304">
        <f t="shared" ca="1" si="378"/>
        <v>29.226932999999988</v>
      </c>
      <c r="U856" s="311">
        <f t="shared" ca="1" si="379"/>
        <v>0</v>
      </c>
      <c r="V856" s="306">
        <f t="shared" ca="1" si="380"/>
        <v>1.2264948477245923</v>
      </c>
      <c r="W856" s="304">
        <f t="shared" ca="1" si="381"/>
        <v>27.779158272159854</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0.46899751871282902</v>
      </c>
      <c r="AH856" s="304">
        <f t="shared" ca="1" si="405"/>
        <v>-9.3240373012419155</v>
      </c>
    </row>
    <row r="857" spans="1:34" x14ac:dyDescent="0.2">
      <c r="A857" s="347">
        <f t="shared" ca="1" si="383"/>
        <v>1E-4</v>
      </c>
      <c r="B857" s="304">
        <f t="shared" ca="1" si="384"/>
        <v>36.833700000001329</v>
      </c>
      <c r="D857" s="306">
        <f t="shared" ca="1" si="385"/>
        <v>-0.54811626078861075</v>
      </c>
      <c r="E857" s="307">
        <f t="shared" ca="1" si="386"/>
        <v>-0.50206909214098516</v>
      </c>
      <c r="F857" s="304">
        <f t="shared" ca="1" si="387"/>
        <v>0.74330667198953715</v>
      </c>
      <c r="G857" s="306">
        <f t="shared" ca="1" si="388"/>
        <v>6.1823591772034741</v>
      </c>
      <c r="H857" s="307">
        <f t="shared" ca="1" si="389"/>
        <v>-104.98778067309173</v>
      </c>
      <c r="I857" s="304">
        <f t="shared" ca="1" si="390"/>
        <v>105.16965178062142</v>
      </c>
      <c r="J857" s="306">
        <f t="shared" ca="1" si="391"/>
        <v>745.87074281998321</v>
      </c>
      <c r="K857" s="307">
        <f t="shared" ca="1" si="392"/>
        <v>-12.205896420220515</v>
      </c>
      <c r="L857" s="304">
        <f t="shared" ca="1" si="377"/>
        <v>745.97060860482611</v>
      </c>
      <c r="M857" s="306">
        <f t="shared" ca="1" si="393"/>
        <v>-1.5119777866418078</v>
      </c>
      <c r="N857" s="304">
        <f t="shared" ca="1" si="394"/>
        <v>-86.629945892107244</v>
      </c>
      <c r="P857" s="310">
        <f t="shared" ca="1" si="395"/>
        <v>23</v>
      </c>
      <c r="Q857" s="304">
        <f t="shared" ca="1" si="396"/>
        <v>0</v>
      </c>
      <c r="R857" s="306">
        <f t="shared" ca="1" si="397"/>
        <v>0</v>
      </c>
      <c r="S857" s="307">
        <f t="shared" ca="1" si="398"/>
        <v>2.9792999999999985</v>
      </c>
      <c r="T857" s="304">
        <f t="shared" ca="1" si="378"/>
        <v>29.226932999999988</v>
      </c>
      <c r="U857" s="311">
        <f t="shared" ca="1" si="379"/>
        <v>0</v>
      </c>
      <c r="V857" s="306">
        <f t="shared" ca="1" si="380"/>
        <v>1.2264961353951602</v>
      </c>
      <c r="W857" s="304">
        <f t="shared" ca="1" si="381"/>
        <v>27.779212211897597</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0.46897972981772718</v>
      </c>
      <c r="AH857" s="304">
        <f t="shared" ca="1" si="405"/>
        <v>-9.3240554063571537</v>
      </c>
    </row>
    <row r="858" spans="1:34" x14ac:dyDescent="0.2">
      <c r="A858" s="347">
        <f t="shared" ca="1" si="383"/>
        <v>1E-4</v>
      </c>
      <c r="B858" s="304">
        <f t="shared" ca="1" si="384"/>
        <v>36.833800000001332</v>
      </c>
      <c r="D858" s="306">
        <f t="shared" ca="1" si="385"/>
        <v>-0.54811222120511205</v>
      </c>
      <c r="E858" s="307">
        <f t="shared" ca="1" si="386"/>
        <v>-0.5020507180637015</v>
      </c>
      <c r="F858" s="304">
        <f t="shared" ca="1" si="387"/>
        <v>0.74329128243420162</v>
      </c>
      <c r="G858" s="306">
        <f t="shared" ca="1" si="388"/>
        <v>6.1823043659813539</v>
      </c>
      <c r="H858" s="307">
        <f t="shared" ca="1" si="389"/>
        <v>-104.98783087816354</v>
      </c>
      <c r="I858" s="304">
        <f t="shared" ca="1" si="390"/>
        <v>105.16969867683135</v>
      </c>
      <c r="J858" s="306">
        <f t="shared" ca="1" si="391"/>
        <v>745.87074281998321</v>
      </c>
      <c r="K858" s="307">
        <f t="shared" ca="1" si="392"/>
        <v>-12.216395200798079</v>
      </c>
      <c r="L858" s="304">
        <f t="shared" ca="1" si="377"/>
        <v>745.97078046431261</v>
      </c>
      <c r="M858" s="306">
        <f t="shared" ca="1" si="393"/>
        <v>-1.5119783349720188</v>
      </c>
      <c r="N858" s="304">
        <f t="shared" ca="1" si="394"/>
        <v>-86.629977309114125</v>
      </c>
      <c r="P858" s="310">
        <f t="shared" ca="1" si="395"/>
        <v>23</v>
      </c>
      <c r="Q858" s="304">
        <f t="shared" ca="1" si="396"/>
        <v>0</v>
      </c>
      <c r="R858" s="306">
        <f t="shared" ca="1" si="397"/>
        <v>0</v>
      </c>
      <c r="S858" s="307">
        <f t="shared" ca="1" si="398"/>
        <v>2.9792999999999985</v>
      </c>
      <c r="T858" s="304">
        <f t="shared" ca="1" si="378"/>
        <v>29.226932999999988</v>
      </c>
      <c r="U858" s="311">
        <f t="shared" ca="1" si="379"/>
        <v>0</v>
      </c>
      <c r="V858" s="306">
        <f t="shared" ca="1" si="380"/>
        <v>1.2264974230676968</v>
      </c>
      <c r="W858" s="304">
        <f t="shared" ca="1" si="381"/>
        <v>27.779266150803252</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0.46896194119588408</v>
      </c>
      <c r="AH858" s="304">
        <f t="shared" ca="1" si="405"/>
        <v>-9.3240735111931023</v>
      </c>
    </row>
    <row r="859" spans="1:34" x14ac:dyDescent="0.2">
      <c r="A859" s="347">
        <f t="shared" ca="1" si="383"/>
        <v>1E-4</v>
      </c>
      <c r="B859" s="304">
        <f t="shared" ca="1" si="384"/>
        <v>36.833900000001336</v>
      </c>
      <c r="D859" s="306">
        <f t="shared" ca="1" si="385"/>
        <v>-0.54810818163500907</v>
      </c>
      <c r="E859" s="307">
        <f t="shared" ca="1" si="386"/>
        <v>-0.50203234426978938</v>
      </c>
      <c r="F859" s="304">
        <f t="shared" ca="1" si="387"/>
        <v>0.74327589323767018</v>
      </c>
      <c r="G859" s="306">
        <f t="shared" ca="1" si="388"/>
        <v>6.1822495551631906</v>
      </c>
      <c r="H859" s="307">
        <f t="shared" ca="1" si="389"/>
        <v>-104.98788108139796</v>
      </c>
      <c r="I859" s="304">
        <f t="shared" ca="1" si="390"/>
        <v>105.16974557126244</v>
      </c>
      <c r="J859" s="306">
        <f t="shared" ca="1" si="391"/>
        <v>745.87074281998321</v>
      </c>
      <c r="K859" s="307">
        <f t="shared" ca="1" si="392"/>
        <v>-12.226893986396057</v>
      </c>
      <c r="L859" s="304">
        <f t="shared" ca="1" si="377"/>
        <v>745.97095247160132</v>
      </c>
      <c r="M859" s="306">
        <f t="shared" ca="1" si="393"/>
        <v>-1.5119788832968792</v>
      </c>
      <c r="N859" s="304">
        <f t="shared" ca="1" si="394"/>
        <v>-86.63000872581442</v>
      </c>
      <c r="P859" s="310">
        <f t="shared" ca="1" si="395"/>
        <v>23</v>
      </c>
      <c r="Q859" s="304">
        <f t="shared" ca="1" si="396"/>
        <v>0</v>
      </c>
      <c r="R859" s="306">
        <f t="shared" ca="1" si="397"/>
        <v>0</v>
      </c>
      <c r="S859" s="307">
        <f t="shared" ca="1" si="398"/>
        <v>2.9792999999999985</v>
      </c>
      <c r="T859" s="304">
        <f t="shared" ca="1" si="378"/>
        <v>29.226932999999988</v>
      </c>
      <c r="U859" s="311">
        <f t="shared" ca="1" si="379"/>
        <v>0</v>
      </c>
      <c r="V859" s="306">
        <f t="shared" ca="1" si="380"/>
        <v>1.2264987107422018</v>
      </c>
      <c r="W859" s="304">
        <f t="shared" ca="1" si="381"/>
        <v>27.779320088876855</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0.46894415284729973</v>
      </c>
      <c r="AH859" s="304">
        <f t="shared" ca="1" si="405"/>
        <v>-9.3240916157497615</v>
      </c>
    </row>
    <row r="860" spans="1:34" x14ac:dyDescent="0.2">
      <c r="A860" s="347">
        <f t="shared" ca="1" si="383"/>
        <v>1E-4</v>
      </c>
      <c r="B860" s="304">
        <f t="shared" ca="1" si="384"/>
        <v>36.834000000001339</v>
      </c>
      <c r="D860" s="306">
        <f t="shared" ca="1" si="385"/>
        <v>-0.5481041420783076</v>
      </c>
      <c r="E860" s="307">
        <f t="shared" ca="1" si="386"/>
        <v>-0.50201397075923637</v>
      </c>
      <c r="F860" s="304">
        <f t="shared" ca="1" si="387"/>
        <v>0.74326050439993985</v>
      </c>
      <c r="G860" s="306">
        <f t="shared" ca="1" si="388"/>
        <v>6.1821947447489825</v>
      </c>
      <c r="H860" s="307">
        <f t="shared" ca="1" si="389"/>
        <v>-104.98793128279503</v>
      </c>
      <c r="I860" s="304">
        <f t="shared" ca="1" si="390"/>
        <v>105.16979246391472</v>
      </c>
      <c r="J860" s="306">
        <f t="shared" ca="1" si="391"/>
        <v>745.87074281998321</v>
      </c>
      <c r="K860" s="307">
        <f t="shared" ca="1" si="392"/>
        <v>-12.237392777014266</v>
      </c>
      <c r="L860" s="304">
        <f t="shared" ca="1" si="377"/>
        <v>745.97112462669259</v>
      </c>
      <c r="M860" s="306">
        <f t="shared" ca="1" si="393"/>
        <v>-1.5119794316163897</v>
      </c>
      <c r="N860" s="304">
        <f t="shared" ca="1" si="394"/>
        <v>-86.630040142208202</v>
      </c>
      <c r="P860" s="310">
        <f t="shared" ca="1" si="395"/>
        <v>23</v>
      </c>
      <c r="Q860" s="304">
        <f t="shared" ca="1" si="396"/>
        <v>0</v>
      </c>
      <c r="R860" s="306">
        <f t="shared" ca="1" si="397"/>
        <v>0</v>
      </c>
      <c r="S860" s="307">
        <f t="shared" ca="1" si="398"/>
        <v>2.9792999999999985</v>
      </c>
      <c r="T860" s="304">
        <f t="shared" ca="1" si="378"/>
        <v>29.226932999999988</v>
      </c>
      <c r="U860" s="311">
        <f t="shared" ca="1" si="379"/>
        <v>0</v>
      </c>
      <c r="V860" s="306">
        <f t="shared" ca="1" si="380"/>
        <v>1.2264999984186749</v>
      </c>
      <c r="W860" s="304">
        <f t="shared" ca="1" si="381"/>
        <v>27.779374026118383</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0.46892636477196348</v>
      </c>
      <c r="AH860" s="304">
        <f t="shared" ca="1" si="405"/>
        <v>-9.3241097200271437</v>
      </c>
    </row>
    <row r="861" spans="1:34" x14ac:dyDescent="0.2">
      <c r="A861" s="347">
        <f t="shared" ca="1" si="383"/>
        <v>1E-4</v>
      </c>
      <c r="B861" s="304">
        <f t="shared" ca="1" si="384"/>
        <v>36.834100000001342</v>
      </c>
      <c r="D861" s="306">
        <f t="shared" ca="1" si="385"/>
        <v>-0.54810010253500174</v>
      </c>
      <c r="E861" s="307">
        <f t="shared" ca="1" si="386"/>
        <v>-0.50199559753204781</v>
      </c>
      <c r="F861" s="304">
        <f t="shared" ca="1" si="387"/>
        <v>0.74324511592101106</v>
      </c>
      <c r="G861" s="306">
        <f t="shared" ca="1" si="388"/>
        <v>6.1821399347387294</v>
      </c>
      <c r="H861" s="307">
        <f t="shared" ca="1" si="389"/>
        <v>-104.98798148235478</v>
      </c>
      <c r="I861" s="304">
        <f t="shared" ca="1" si="390"/>
        <v>105.16983935478824</v>
      </c>
      <c r="J861" s="306">
        <f t="shared" ca="1" si="391"/>
        <v>745.87074281998321</v>
      </c>
      <c r="K861" s="307">
        <f t="shared" ca="1" si="392"/>
        <v>-12.247891572652524</v>
      </c>
      <c r="L861" s="304">
        <f t="shared" ca="1" si="377"/>
        <v>745.97129692958629</v>
      </c>
      <c r="M861" s="306">
        <f t="shared" ca="1" si="393"/>
        <v>-1.5119799799305496</v>
      </c>
      <c r="N861" s="304">
        <f t="shared" ca="1" si="394"/>
        <v>-86.630071558295398</v>
      </c>
      <c r="P861" s="310">
        <f t="shared" ca="1" si="395"/>
        <v>23</v>
      </c>
      <c r="Q861" s="304">
        <f t="shared" ca="1" si="396"/>
        <v>0</v>
      </c>
      <c r="R861" s="306">
        <f t="shared" ca="1" si="397"/>
        <v>0</v>
      </c>
      <c r="S861" s="307">
        <f t="shared" ca="1" si="398"/>
        <v>2.9792999999999985</v>
      </c>
      <c r="T861" s="304">
        <f t="shared" ca="1" si="378"/>
        <v>29.226932999999988</v>
      </c>
      <c r="U861" s="311">
        <f t="shared" ca="1" si="379"/>
        <v>0</v>
      </c>
      <c r="V861" s="306">
        <f t="shared" ca="1" si="380"/>
        <v>1.2265012860971169</v>
      </c>
      <c r="W861" s="304">
        <f t="shared" ca="1" si="381"/>
        <v>27.779427962527897</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0.46890857696988242</v>
      </c>
      <c r="AH861" s="304">
        <f t="shared" ca="1" si="405"/>
        <v>-9.3241278240252399</v>
      </c>
    </row>
    <row r="862" spans="1:34" x14ac:dyDescent="0.2">
      <c r="A862" s="347">
        <f t="shared" ca="1" si="383"/>
        <v>1E-4</v>
      </c>
      <c r="B862" s="304">
        <f t="shared" ca="1" si="384"/>
        <v>36.834200000001346</v>
      </c>
      <c r="D862" s="306">
        <f t="shared" ca="1" si="385"/>
        <v>-0.5480960630050995</v>
      </c>
      <c r="E862" s="307">
        <f t="shared" ca="1" si="386"/>
        <v>-0.5019772245882077</v>
      </c>
      <c r="F862" s="304">
        <f t="shared" ca="1" si="387"/>
        <v>0.74322972780087981</v>
      </c>
      <c r="G862" s="306">
        <f t="shared" ca="1" si="388"/>
        <v>6.1820851251324287</v>
      </c>
      <c r="H862" s="307">
        <f t="shared" ca="1" si="389"/>
        <v>-104.98803168007724</v>
      </c>
      <c r="I862" s="304">
        <f t="shared" ca="1" si="390"/>
        <v>105.16988624388298</v>
      </c>
      <c r="J862" s="306">
        <f t="shared" ca="1" si="391"/>
        <v>745.87074281998321</v>
      </c>
      <c r="K862" s="307">
        <f t="shared" ca="1" si="392"/>
        <v>-12.258390373310645</v>
      </c>
      <c r="L862" s="304">
        <f t="shared" ca="1" si="377"/>
        <v>745.97146938028266</v>
      </c>
      <c r="M862" s="306">
        <f t="shared" ca="1" si="393"/>
        <v>-1.5119805282393595</v>
      </c>
      <c r="N862" s="304">
        <f t="shared" ca="1" si="394"/>
        <v>-86.630102974076081</v>
      </c>
      <c r="P862" s="310">
        <f t="shared" ca="1" si="395"/>
        <v>23</v>
      </c>
      <c r="Q862" s="304">
        <f t="shared" ca="1" si="396"/>
        <v>0</v>
      </c>
      <c r="R862" s="306">
        <f t="shared" ca="1" si="397"/>
        <v>0</v>
      </c>
      <c r="S862" s="307">
        <f t="shared" ca="1" si="398"/>
        <v>2.9792999999999985</v>
      </c>
      <c r="T862" s="304">
        <f t="shared" ca="1" si="378"/>
        <v>29.226932999999988</v>
      </c>
      <c r="U862" s="311">
        <f t="shared" ca="1" si="379"/>
        <v>0</v>
      </c>
      <c r="V862" s="306">
        <f t="shared" ca="1" si="380"/>
        <v>1.226502573777527</v>
      </c>
      <c r="W862" s="304">
        <f t="shared" ca="1" si="381"/>
        <v>27.779481898105356</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0.46889078944103701</v>
      </c>
      <c r="AH862" s="304">
        <f t="shared" ca="1" si="405"/>
        <v>-9.3241459277440715</v>
      </c>
    </row>
    <row r="863" spans="1:34" x14ac:dyDescent="0.2">
      <c r="A863" s="347">
        <f t="shared" ca="1" si="383"/>
        <v>1E-4</v>
      </c>
      <c r="B863" s="304">
        <f t="shared" ca="1" si="384"/>
        <v>36.834300000001349</v>
      </c>
      <c r="D863" s="306">
        <f t="shared" ca="1" si="385"/>
        <v>-0.54809202348859487</v>
      </c>
      <c r="E863" s="307">
        <f t="shared" ca="1" si="386"/>
        <v>-0.50195885192772494</v>
      </c>
      <c r="F863" s="304">
        <f t="shared" ca="1" si="387"/>
        <v>0.74321434003954889</v>
      </c>
      <c r="G863" s="306">
        <f t="shared" ca="1" si="388"/>
        <v>6.1820303159300796</v>
      </c>
      <c r="H863" s="307">
        <f t="shared" ca="1" si="389"/>
        <v>-104.98808187596244</v>
      </c>
      <c r="I863" s="304">
        <f t="shared" ca="1" si="390"/>
        <v>105.169933131199</v>
      </c>
      <c r="J863" s="306">
        <f t="shared" ca="1" si="391"/>
        <v>745.87074281998321</v>
      </c>
      <c r="K863" s="307">
        <f t="shared" ca="1" si="392"/>
        <v>-12.268889178988447</v>
      </c>
      <c r="L863" s="304">
        <f t="shared" ca="1" si="377"/>
        <v>745.9716419787818</v>
      </c>
      <c r="M863" s="306">
        <f t="shared" ca="1" si="393"/>
        <v>-1.5119810765428192</v>
      </c>
      <c r="N863" s="304">
        <f t="shared" ca="1" si="394"/>
        <v>-86.630134389550221</v>
      </c>
      <c r="P863" s="310">
        <f t="shared" ca="1" si="395"/>
        <v>23</v>
      </c>
      <c r="Q863" s="304">
        <f t="shared" ca="1" si="396"/>
        <v>0</v>
      </c>
      <c r="R863" s="306">
        <f t="shared" ca="1" si="397"/>
        <v>0</v>
      </c>
      <c r="S863" s="307">
        <f t="shared" ca="1" si="398"/>
        <v>2.9792999999999985</v>
      </c>
      <c r="T863" s="304">
        <f t="shared" ca="1" si="378"/>
        <v>29.226932999999988</v>
      </c>
      <c r="U863" s="311">
        <f t="shared" ca="1" si="379"/>
        <v>0</v>
      </c>
      <c r="V863" s="306">
        <f t="shared" ca="1" si="380"/>
        <v>1.2265038614599055</v>
      </c>
      <c r="W863" s="304">
        <f t="shared" ca="1" si="381"/>
        <v>27.779535832850783</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0.46887300218544148</v>
      </c>
      <c r="AH863" s="304">
        <f t="shared" ca="1" si="405"/>
        <v>-9.3241640311836242</v>
      </c>
    </row>
    <row r="864" spans="1:34" x14ac:dyDescent="0.2">
      <c r="A864" s="347">
        <f t="shared" ca="1" si="383"/>
        <v>1E-4</v>
      </c>
      <c r="B864" s="304">
        <f t="shared" ca="1" si="384"/>
        <v>36.834400000001352</v>
      </c>
      <c r="D864" s="306">
        <f t="shared" ca="1" si="385"/>
        <v>-0.54808798398549075</v>
      </c>
      <c r="E864" s="307">
        <f t="shared" ca="1" si="386"/>
        <v>-0.50194047955059595</v>
      </c>
      <c r="F864" s="304">
        <f t="shared" ca="1" si="387"/>
        <v>0.74319895263701885</v>
      </c>
      <c r="G864" s="306">
        <f t="shared" ca="1" si="388"/>
        <v>6.1819755071316811</v>
      </c>
      <c r="H864" s="307">
        <f t="shared" ca="1" si="389"/>
        <v>-104.98813207001039</v>
      </c>
      <c r="I864" s="304">
        <f t="shared" ca="1" si="390"/>
        <v>105.16998001673635</v>
      </c>
      <c r="J864" s="306">
        <f t="shared" ca="1" si="391"/>
        <v>745.87074281998321</v>
      </c>
      <c r="K864" s="307">
        <f t="shared" ca="1" si="392"/>
        <v>-12.279387989685745</v>
      </c>
      <c r="L864" s="304">
        <f t="shared" ca="1" si="377"/>
        <v>745.97181472508385</v>
      </c>
      <c r="M864" s="306">
        <f t="shared" ca="1" si="393"/>
        <v>-1.511981624840929</v>
      </c>
      <c r="N864" s="304">
        <f t="shared" ca="1" si="394"/>
        <v>-86.630165804717819</v>
      </c>
      <c r="P864" s="310">
        <f t="shared" ca="1" si="395"/>
        <v>23</v>
      </c>
      <c r="Q864" s="304">
        <f t="shared" ca="1" si="396"/>
        <v>0</v>
      </c>
      <c r="R864" s="306">
        <f t="shared" ca="1" si="397"/>
        <v>0</v>
      </c>
      <c r="S864" s="307">
        <f t="shared" ca="1" si="398"/>
        <v>2.9792999999999985</v>
      </c>
      <c r="T864" s="304">
        <f t="shared" ca="1" si="378"/>
        <v>29.226932999999988</v>
      </c>
      <c r="U864" s="311">
        <f t="shared" ca="1" si="379"/>
        <v>0</v>
      </c>
      <c r="V864" s="306">
        <f t="shared" ca="1" si="380"/>
        <v>1.2265051491442527</v>
      </c>
      <c r="W864" s="304">
        <f t="shared" ca="1" si="381"/>
        <v>27.779589766764222</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0.4688552152030887</v>
      </c>
      <c r="AH864" s="304">
        <f t="shared" ca="1" si="405"/>
        <v>-9.3241821343439053</v>
      </c>
    </row>
    <row r="865" spans="1:34" x14ac:dyDescent="0.2">
      <c r="A865" s="347">
        <f t="shared" ca="1" si="383"/>
        <v>1E-4</v>
      </c>
      <c r="B865" s="304">
        <f t="shared" ca="1" si="384"/>
        <v>36.834500000001356</v>
      </c>
      <c r="D865" s="306">
        <f t="shared" ca="1" si="385"/>
        <v>-0.54808394449578701</v>
      </c>
      <c r="E865" s="307">
        <f t="shared" ca="1" si="386"/>
        <v>-0.50192210745680299</v>
      </c>
      <c r="F865" s="304">
        <f t="shared" ca="1" si="387"/>
        <v>0.74318356559327881</v>
      </c>
      <c r="G865" s="306">
        <f t="shared" ca="1" si="388"/>
        <v>6.1819206987372315</v>
      </c>
      <c r="H865" s="307">
        <f t="shared" ca="1" si="389"/>
        <v>-104.98818226222114</v>
      </c>
      <c r="I865" s="304">
        <f t="shared" ca="1" si="390"/>
        <v>105.170026900495</v>
      </c>
      <c r="J865" s="306">
        <f t="shared" ca="1" si="391"/>
        <v>745.87074281998321</v>
      </c>
      <c r="K865" s="307">
        <f t="shared" ca="1" si="392"/>
        <v>-12.289886805402356</v>
      </c>
      <c r="L865" s="304">
        <f t="shared" ca="1" si="377"/>
        <v>745.97198761918878</v>
      </c>
      <c r="M865" s="306">
        <f t="shared" ca="1" si="393"/>
        <v>-1.5119821731336889</v>
      </c>
      <c r="N865" s="304">
        <f t="shared" ca="1" si="394"/>
        <v>-86.630197219578903</v>
      </c>
      <c r="P865" s="310">
        <f t="shared" ca="1" si="395"/>
        <v>23</v>
      </c>
      <c r="Q865" s="304">
        <f t="shared" ca="1" si="396"/>
        <v>0</v>
      </c>
      <c r="R865" s="306">
        <f t="shared" ca="1" si="397"/>
        <v>0</v>
      </c>
      <c r="S865" s="307">
        <f t="shared" ca="1" si="398"/>
        <v>2.9792999999999985</v>
      </c>
      <c r="T865" s="304">
        <f t="shared" ca="1" si="378"/>
        <v>29.226932999999988</v>
      </c>
      <c r="U865" s="311">
        <f t="shared" ca="1" si="379"/>
        <v>0</v>
      </c>
      <c r="V865" s="306">
        <f t="shared" ca="1" si="380"/>
        <v>1.2265064368305683</v>
      </c>
      <c r="W865" s="304">
        <f t="shared" ca="1" si="381"/>
        <v>27.779643699845646</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0.46883742849396093</v>
      </c>
      <c r="AH865" s="304">
        <f t="shared" ca="1" si="405"/>
        <v>-9.3242002372249306</v>
      </c>
    </row>
    <row r="866" spans="1:34" x14ac:dyDescent="0.2">
      <c r="A866" s="347">
        <f t="shared" ca="1" si="383"/>
        <v>1E-4</v>
      </c>
      <c r="B866" s="304">
        <f t="shared" ca="1" si="384"/>
        <v>36.834600000001359</v>
      </c>
      <c r="D866" s="306">
        <f t="shared" ca="1" si="385"/>
        <v>-0.54807990501948378</v>
      </c>
      <c r="E866" s="307">
        <f t="shared" ca="1" si="386"/>
        <v>-0.50190373564635671</v>
      </c>
      <c r="F866" s="304">
        <f t="shared" ca="1" si="387"/>
        <v>0.7431681789083372</v>
      </c>
      <c r="G866" s="306">
        <f t="shared" ca="1" si="388"/>
        <v>6.1818658907467299</v>
      </c>
      <c r="H866" s="307">
        <f t="shared" ca="1" si="389"/>
        <v>-104.98823245259472</v>
      </c>
      <c r="I866" s="304">
        <f t="shared" ca="1" si="390"/>
        <v>105.17007378247503</v>
      </c>
      <c r="J866" s="306">
        <f t="shared" ca="1" si="391"/>
        <v>745.87074281998321</v>
      </c>
      <c r="K866" s="307">
        <f t="shared" ca="1" si="392"/>
        <v>-12.300385626138096</v>
      </c>
      <c r="L866" s="304">
        <f t="shared" ca="1" si="377"/>
        <v>745.97216066109684</v>
      </c>
      <c r="M866" s="306">
        <f t="shared" ca="1" si="393"/>
        <v>-1.5119827214210986</v>
      </c>
      <c r="N866" s="304">
        <f t="shared" ca="1" si="394"/>
        <v>-86.630228634133431</v>
      </c>
      <c r="P866" s="310">
        <f t="shared" ca="1" si="395"/>
        <v>23</v>
      </c>
      <c r="Q866" s="304">
        <f t="shared" ca="1" si="396"/>
        <v>0</v>
      </c>
      <c r="R866" s="306">
        <f t="shared" ca="1" si="397"/>
        <v>0</v>
      </c>
      <c r="S866" s="307">
        <f t="shared" ca="1" si="398"/>
        <v>2.9792999999999985</v>
      </c>
      <c r="T866" s="304">
        <f t="shared" ca="1" si="378"/>
        <v>29.226932999999988</v>
      </c>
      <c r="U866" s="311">
        <f t="shared" ca="1" si="379"/>
        <v>0</v>
      </c>
      <c r="V866" s="306">
        <f t="shared" ca="1" si="380"/>
        <v>1.226507724518852</v>
      </c>
      <c r="W866" s="304">
        <f t="shared" ca="1" si="381"/>
        <v>27.779697632095072</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0.46881964205806881</v>
      </c>
      <c r="AH866" s="304">
        <f t="shared" ca="1" si="405"/>
        <v>-9.3242183398266913</v>
      </c>
    </row>
    <row r="867" spans="1:34" x14ac:dyDescent="0.2">
      <c r="A867" s="347">
        <f t="shared" ca="1" si="383"/>
        <v>1E-4</v>
      </c>
      <c r="B867" s="304">
        <f t="shared" ca="1" si="384"/>
        <v>36.834700000001362</v>
      </c>
      <c r="D867" s="306">
        <f t="shared" ca="1" si="385"/>
        <v>-0.54807586555658416</v>
      </c>
      <c r="E867" s="307">
        <f t="shared" ca="1" si="386"/>
        <v>-0.50188536411925178</v>
      </c>
      <c r="F867" s="304">
        <f t="shared" ca="1" si="387"/>
        <v>0.74315279258219358</v>
      </c>
      <c r="G867" s="306">
        <f t="shared" ca="1" si="388"/>
        <v>6.1818110831601745</v>
      </c>
      <c r="H867" s="307">
        <f t="shared" ca="1" si="389"/>
        <v>-104.98828264113112</v>
      </c>
      <c r="I867" s="304">
        <f t="shared" ca="1" si="390"/>
        <v>105.17012066267641</v>
      </c>
      <c r="J867" s="306">
        <f t="shared" ca="1" si="391"/>
        <v>745.87074281998321</v>
      </c>
      <c r="K867" s="307">
        <f t="shared" ca="1" si="392"/>
        <v>-12.310884451892782</v>
      </c>
      <c r="L867" s="304">
        <f t="shared" ca="1" si="377"/>
        <v>745.97233385080801</v>
      </c>
      <c r="M867" s="306">
        <f t="shared" ca="1" si="393"/>
        <v>-1.5119832697031588</v>
      </c>
      <c r="N867" s="304">
        <f t="shared" ca="1" si="394"/>
        <v>-86.630260048381473</v>
      </c>
      <c r="P867" s="310">
        <f t="shared" ca="1" si="395"/>
        <v>23</v>
      </c>
      <c r="Q867" s="304">
        <f t="shared" ca="1" si="396"/>
        <v>0</v>
      </c>
      <c r="R867" s="306">
        <f t="shared" ca="1" si="397"/>
        <v>0</v>
      </c>
      <c r="S867" s="307">
        <f t="shared" ca="1" si="398"/>
        <v>2.9792999999999985</v>
      </c>
      <c r="T867" s="304">
        <f t="shared" ca="1" si="378"/>
        <v>29.226932999999988</v>
      </c>
      <c r="U867" s="311">
        <f t="shared" ca="1" si="379"/>
        <v>0</v>
      </c>
      <c r="V867" s="306">
        <f t="shared" ca="1" si="380"/>
        <v>1.2265090122091042</v>
      </c>
      <c r="W867" s="304">
        <f t="shared" ca="1" si="381"/>
        <v>27.779751563512512</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0.46880185589541057</v>
      </c>
      <c r="AH867" s="304">
        <f t="shared" ca="1" si="405"/>
        <v>-9.324236442149191</v>
      </c>
    </row>
    <row r="868" spans="1:34" x14ac:dyDescent="0.2">
      <c r="A868" s="347">
        <f t="shared" ca="1" si="383"/>
        <v>1E-4</v>
      </c>
      <c r="B868" s="304">
        <f t="shared" ca="1" si="384"/>
        <v>36.834800000001366</v>
      </c>
      <c r="D868" s="306">
        <f t="shared" ca="1" si="385"/>
        <v>-0.54807182610708305</v>
      </c>
      <c r="E868" s="307">
        <f t="shared" ca="1" si="386"/>
        <v>-0.50186699287548109</v>
      </c>
      <c r="F868" s="304">
        <f t="shared" ca="1" si="387"/>
        <v>0.74313740661484062</v>
      </c>
      <c r="G868" s="306">
        <f t="shared" ca="1" si="388"/>
        <v>6.1817562759775635</v>
      </c>
      <c r="H868" s="307">
        <f t="shared" ca="1" si="389"/>
        <v>-104.9883328278304</v>
      </c>
      <c r="I868" s="304">
        <f t="shared" ca="1" si="390"/>
        <v>105.17016754109922</v>
      </c>
      <c r="J868" s="306">
        <f t="shared" ca="1" si="391"/>
        <v>745.87074281998321</v>
      </c>
      <c r="K868" s="307">
        <f t="shared" ca="1" si="392"/>
        <v>-12.321383282666231</v>
      </c>
      <c r="L868" s="304">
        <f t="shared" ca="1" si="377"/>
        <v>745.97250718832254</v>
      </c>
      <c r="M868" s="306">
        <f t="shared" ca="1" si="393"/>
        <v>-1.5119838179798688</v>
      </c>
      <c r="N868" s="304">
        <f t="shared" ca="1" si="394"/>
        <v>-86.630291462322958</v>
      </c>
      <c r="P868" s="310">
        <f t="shared" ca="1" si="395"/>
        <v>23</v>
      </c>
      <c r="Q868" s="304">
        <f t="shared" ca="1" si="396"/>
        <v>0</v>
      </c>
      <c r="R868" s="306">
        <f t="shared" ca="1" si="397"/>
        <v>0</v>
      </c>
      <c r="S868" s="307">
        <f t="shared" ca="1" si="398"/>
        <v>2.9792999999999985</v>
      </c>
      <c r="T868" s="304">
        <f t="shared" ca="1" si="378"/>
        <v>29.226932999999988</v>
      </c>
      <c r="U868" s="311">
        <f t="shared" ca="1" si="379"/>
        <v>0</v>
      </c>
      <c r="V868" s="306">
        <f t="shared" ca="1" si="380"/>
        <v>1.2265102999013244</v>
      </c>
      <c r="W868" s="304">
        <f t="shared" ca="1" si="381"/>
        <v>27.779805494097971</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0.46878407000597555</v>
      </c>
      <c r="AH868" s="304">
        <f t="shared" ca="1" si="405"/>
        <v>-9.3242545441924367</v>
      </c>
    </row>
    <row r="869" spans="1:34" x14ac:dyDescent="0.2">
      <c r="A869" s="347">
        <f t="shared" ca="1" si="383"/>
        <v>1E-4</v>
      </c>
      <c r="B869" s="304">
        <f t="shared" ca="1" si="384"/>
        <v>36.834900000001369</v>
      </c>
      <c r="D869" s="306">
        <f t="shared" ca="1" si="385"/>
        <v>-0.54806778667098743</v>
      </c>
      <c r="E869" s="307">
        <f t="shared" ca="1" si="386"/>
        <v>-0.50184862191504465</v>
      </c>
      <c r="F869" s="304">
        <f t="shared" ca="1" si="387"/>
        <v>0.74312202100628433</v>
      </c>
      <c r="G869" s="306">
        <f t="shared" ca="1" si="388"/>
        <v>6.1817014691988961</v>
      </c>
      <c r="H869" s="307">
        <f t="shared" ca="1" si="389"/>
        <v>-104.98838301269259</v>
      </c>
      <c r="I869" s="304">
        <f t="shared" ca="1" si="390"/>
        <v>105.17021441774347</v>
      </c>
      <c r="J869" s="306">
        <f t="shared" ca="1" si="391"/>
        <v>745.87074281998321</v>
      </c>
      <c r="K869" s="307">
        <f t="shared" ca="1" si="392"/>
        <v>-12.331882118458257</v>
      </c>
      <c r="L869" s="304">
        <f t="shared" ca="1" si="377"/>
        <v>745.97268067364041</v>
      </c>
      <c r="M869" s="306">
        <f t="shared" ca="1" si="393"/>
        <v>-1.5119843662512293</v>
      </c>
      <c r="N869" s="304">
        <f t="shared" ca="1" si="394"/>
        <v>-86.630322875957944</v>
      </c>
      <c r="P869" s="310">
        <f t="shared" ca="1" si="395"/>
        <v>23</v>
      </c>
      <c r="Q869" s="304">
        <f t="shared" ca="1" si="396"/>
        <v>0</v>
      </c>
      <c r="R869" s="306">
        <f t="shared" ca="1" si="397"/>
        <v>0</v>
      </c>
      <c r="S869" s="307">
        <f t="shared" ca="1" si="398"/>
        <v>2.9792999999999985</v>
      </c>
      <c r="T869" s="304">
        <f t="shared" ca="1" si="378"/>
        <v>29.226932999999988</v>
      </c>
      <c r="U869" s="311">
        <f t="shared" ca="1" si="379"/>
        <v>0</v>
      </c>
      <c r="V869" s="306">
        <f t="shared" ca="1" si="380"/>
        <v>1.2265115875955133</v>
      </c>
      <c r="W869" s="304">
        <f t="shared" ca="1" si="381"/>
        <v>27.77985942385147</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0.46876628438976553</v>
      </c>
      <c r="AH869" s="304">
        <f t="shared" ca="1" si="405"/>
        <v>-9.3242726459564285</v>
      </c>
    </row>
    <row r="870" spans="1:34" x14ac:dyDescent="0.2">
      <c r="A870" s="347">
        <f t="shared" ca="1" si="383"/>
        <v>1E-4</v>
      </c>
      <c r="B870" s="304">
        <f t="shared" ca="1" si="384"/>
        <v>36.835000000001372</v>
      </c>
      <c r="D870" s="306">
        <f t="shared" ca="1" si="385"/>
        <v>-0.54806374724829221</v>
      </c>
      <c r="E870" s="307">
        <f t="shared" ca="1" si="386"/>
        <v>-0.50183025123793712</v>
      </c>
      <c r="F870" s="304">
        <f t="shared" ca="1" si="387"/>
        <v>0.74310663575651847</v>
      </c>
      <c r="G870" s="306">
        <f t="shared" ca="1" si="388"/>
        <v>6.1816466628241713</v>
      </c>
      <c r="H870" s="307">
        <f t="shared" ca="1" si="389"/>
        <v>-104.98843319571772</v>
      </c>
      <c r="I870" s="304">
        <f t="shared" ca="1" si="390"/>
        <v>105.17026129260917</v>
      </c>
      <c r="J870" s="306">
        <f t="shared" ca="1" si="391"/>
        <v>745.87074281998321</v>
      </c>
      <c r="K870" s="307">
        <f t="shared" ca="1" si="392"/>
        <v>-12.342380959268677</v>
      </c>
      <c r="L870" s="304">
        <f t="shared" ca="1" si="377"/>
        <v>745.97285430676175</v>
      </c>
      <c r="M870" s="306">
        <f t="shared" ca="1" si="393"/>
        <v>-1.5119849145172404</v>
      </c>
      <c r="N870" s="304">
        <f t="shared" ca="1" si="394"/>
        <v>-86.63035428928643</v>
      </c>
      <c r="P870" s="310">
        <f t="shared" ca="1" si="395"/>
        <v>23</v>
      </c>
      <c r="Q870" s="304">
        <f t="shared" ca="1" si="396"/>
        <v>0</v>
      </c>
      <c r="R870" s="306">
        <f t="shared" ca="1" si="397"/>
        <v>0</v>
      </c>
      <c r="S870" s="307">
        <f t="shared" ca="1" si="398"/>
        <v>2.9792999999999985</v>
      </c>
      <c r="T870" s="304">
        <f t="shared" ca="1" si="378"/>
        <v>29.226932999999988</v>
      </c>
      <c r="U870" s="311">
        <f t="shared" ca="1" si="379"/>
        <v>0</v>
      </c>
      <c r="V870" s="306">
        <f t="shared" ca="1" si="380"/>
        <v>1.2265128752916701</v>
      </c>
      <c r="W870" s="304">
        <f t="shared" ca="1" si="381"/>
        <v>27.779913352773015</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0.46874849904677696</v>
      </c>
      <c r="AH870" s="304">
        <f t="shared" ca="1" si="405"/>
        <v>-9.3242907474411716</v>
      </c>
    </row>
    <row r="871" spans="1:34" x14ac:dyDescent="0.2">
      <c r="A871" s="347">
        <f t="shared" ca="1" si="383"/>
        <v>1E-4</v>
      </c>
      <c r="B871" s="304">
        <f t="shared" ca="1" si="384"/>
        <v>36.835100000001376</v>
      </c>
      <c r="D871" s="306">
        <f t="shared" ca="1" si="385"/>
        <v>-0.54805970783899838</v>
      </c>
      <c r="E871" s="307">
        <f t="shared" ca="1" si="386"/>
        <v>-0.50181188084415496</v>
      </c>
      <c r="F871" s="304">
        <f t="shared" ca="1" si="387"/>
        <v>0.74309125086554251</v>
      </c>
      <c r="G871" s="306">
        <f t="shared" ca="1" si="388"/>
        <v>6.1815918568533874</v>
      </c>
      <c r="H871" s="307">
        <f t="shared" ca="1" si="389"/>
        <v>-104.9884833769058</v>
      </c>
      <c r="I871" s="304">
        <f t="shared" ca="1" si="390"/>
        <v>105.17030816569638</v>
      </c>
      <c r="J871" s="306">
        <f t="shared" ca="1" si="391"/>
        <v>745.87074281998321</v>
      </c>
      <c r="K871" s="307">
        <f t="shared" ca="1" si="392"/>
        <v>-12.352879805097308</v>
      </c>
      <c r="L871" s="304">
        <f t="shared" ca="1" si="377"/>
        <v>745.97302808768677</v>
      </c>
      <c r="M871" s="306">
        <f t="shared" ca="1" si="393"/>
        <v>-1.5119854627779015</v>
      </c>
      <c r="N871" s="304">
        <f t="shared" ca="1" si="394"/>
        <v>-86.630385702308388</v>
      </c>
      <c r="P871" s="310">
        <f t="shared" ca="1" si="395"/>
        <v>23</v>
      </c>
      <c r="Q871" s="304">
        <f t="shared" ca="1" si="396"/>
        <v>0</v>
      </c>
      <c r="R871" s="306">
        <f t="shared" ca="1" si="397"/>
        <v>0</v>
      </c>
      <c r="S871" s="307">
        <f t="shared" ca="1" si="398"/>
        <v>2.9792999999999985</v>
      </c>
      <c r="T871" s="304">
        <f t="shared" ca="1" si="378"/>
        <v>29.226932999999988</v>
      </c>
      <c r="U871" s="311">
        <f t="shared" ca="1" si="379"/>
        <v>0</v>
      </c>
      <c r="V871" s="306">
        <f t="shared" ca="1" si="380"/>
        <v>1.2265141629897955</v>
      </c>
      <c r="W871" s="304">
        <f t="shared" ca="1" si="381"/>
        <v>27.779967280862621</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0.46873071397700272</v>
      </c>
      <c r="AH871" s="304">
        <f t="shared" ca="1" si="405"/>
        <v>-9.3243088486466714</v>
      </c>
    </row>
    <row r="872" spans="1:34" x14ac:dyDescent="0.2">
      <c r="A872" s="347">
        <f t="shared" ca="1" si="383"/>
        <v>1E-4</v>
      </c>
      <c r="B872" s="304">
        <f t="shared" ca="1" si="384"/>
        <v>36.835200000001379</v>
      </c>
      <c r="D872" s="306">
        <f t="shared" ca="1" si="385"/>
        <v>-0.54805566844311115</v>
      </c>
      <c r="E872" s="307">
        <f t="shared" ca="1" si="386"/>
        <v>-0.50179351073369105</v>
      </c>
      <c r="F872" s="304">
        <f t="shared" ca="1" si="387"/>
        <v>0.74307586633335643</v>
      </c>
      <c r="G872" s="306">
        <f t="shared" ca="1" si="388"/>
        <v>6.1815370512865435</v>
      </c>
      <c r="H872" s="307">
        <f t="shared" ca="1" si="389"/>
        <v>-104.98853355625688</v>
      </c>
      <c r="I872" s="304">
        <f t="shared" ca="1" si="390"/>
        <v>105.17035503700511</v>
      </c>
      <c r="J872" s="306">
        <f t="shared" ca="1" si="391"/>
        <v>745.87074281998321</v>
      </c>
      <c r="K872" s="307">
        <f t="shared" ca="1" si="392"/>
        <v>-12.363378655943965</v>
      </c>
      <c r="L872" s="304">
        <f t="shared" ca="1" si="377"/>
        <v>745.97320201641548</v>
      </c>
      <c r="M872" s="306">
        <f t="shared" ca="1" si="393"/>
        <v>-1.5119860110332133</v>
      </c>
      <c r="N872" s="304">
        <f t="shared" ca="1" si="394"/>
        <v>-86.630417115023846</v>
      </c>
      <c r="P872" s="310">
        <f t="shared" ca="1" si="395"/>
        <v>23</v>
      </c>
      <c r="Q872" s="304">
        <f t="shared" ca="1" si="396"/>
        <v>0</v>
      </c>
      <c r="R872" s="306">
        <f t="shared" ca="1" si="397"/>
        <v>0</v>
      </c>
      <c r="S872" s="307">
        <f t="shared" ca="1" si="398"/>
        <v>2.9792999999999985</v>
      </c>
      <c r="T872" s="304">
        <f t="shared" ca="1" si="378"/>
        <v>29.226932999999988</v>
      </c>
      <c r="U872" s="311">
        <f t="shared" ca="1" si="379"/>
        <v>0</v>
      </c>
      <c r="V872" s="306">
        <f t="shared" ca="1" si="380"/>
        <v>1.2265154506898888</v>
      </c>
      <c r="W872" s="304">
        <f t="shared" ca="1" si="381"/>
        <v>27.780021208120282</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0.46871292918044105</v>
      </c>
      <c r="AH872" s="304">
        <f t="shared" ca="1" si="405"/>
        <v>-9.3243269495729315</v>
      </c>
    </row>
    <row r="873" spans="1:34" x14ac:dyDescent="0.2">
      <c r="A873" s="347">
        <f t="shared" ca="1" si="383"/>
        <v>1E-4</v>
      </c>
      <c r="B873" s="304">
        <f t="shared" ca="1" si="384"/>
        <v>36.835300000001382</v>
      </c>
      <c r="D873" s="306">
        <f t="shared" ca="1" si="385"/>
        <v>-0.54805162906062488</v>
      </c>
      <c r="E873" s="307">
        <f t="shared" ca="1" si="386"/>
        <v>-0.50177514090655073</v>
      </c>
      <c r="F873" s="304">
        <f t="shared" ca="1" si="387"/>
        <v>0.7430604821599609</v>
      </c>
      <c r="G873" s="306">
        <f t="shared" ca="1" si="388"/>
        <v>6.1814822461236378</v>
      </c>
      <c r="H873" s="307">
        <f t="shared" ca="1" si="389"/>
        <v>-104.98858373377098</v>
      </c>
      <c r="I873" s="304">
        <f t="shared" ca="1" si="390"/>
        <v>105.17040190653539</v>
      </c>
      <c r="J873" s="306">
        <f t="shared" ca="1" si="391"/>
        <v>745.87074281998321</v>
      </c>
      <c r="K873" s="307">
        <f t="shared" ca="1" si="392"/>
        <v>-12.373877511808466</v>
      </c>
      <c r="L873" s="304">
        <f t="shared" ca="1" si="377"/>
        <v>745.973376092948</v>
      </c>
      <c r="M873" s="306">
        <f t="shared" ca="1" si="393"/>
        <v>-1.5119865592831756</v>
      </c>
      <c r="N873" s="304">
        <f t="shared" ca="1" si="394"/>
        <v>-86.630448527432804</v>
      </c>
      <c r="P873" s="310">
        <f t="shared" ca="1" si="395"/>
        <v>23</v>
      </c>
      <c r="Q873" s="304">
        <f t="shared" ca="1" si="396"/>
        <v>0</v>
      </c>
      <c r="R873" s="306">
        <f t="shared" ca="1" si="397"/>
        <v>0</v>
      </c>
      <c r="S873" s="307">
        <f t="shared" ca="1" si="398"/>
        <v>2.9792999999999985</v>
      </c>
      <c r="T873" s="304">
        <f t="shared" ca="1" si="378"/>
        <v>29.226932999999988</v>
      </c>
      <c r="U873" s="311">
        <f t="shared" ca="1" si="379"/>
        <v>0</v>
      </c>
      <c r="V873" s="306">
        <f t="shared" ca="1" si="380"/>
        <v>1.2265167383919506</v>
      </c>
      <c r="W873" s="304">
        <f t="shared" ca="1" si="381"/>
        <v>27.780075134546038</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0.46869514465709017</v>
      </c>
      <c r="AH873" s="304">
        <f t="shared" ca="1" si="405"/>
        <v>-9.3243450502199501</v>
      </c>
    </row>
    <row r="874" spans="1:34" x14ac:dyDescent="0.2">
      <c r="A874" s="347">
        <f t="shared" ca="1" si="383"/>
        <v>1E-4</v>
      </c>
      <c r="B874" s="304">
        <f t="shared" ca="1" si="384"/>
        <v>36.835400000001385</v>
      </c>
      <c r="D874" s="306">
        <f t="shared" ca="1" si="385"/>
        <v>-0.5480475896915431</v>
      </c>
      <c r="E874" s="307">
        <f t="shared" ca="1" si="386"/>
        <v>-0.50175677136271801</v>
      </c>
      <c r="F874" s="304">
        <f t="shared" ca="1" si="387"/>
        <v>0.7430450983453486</v>
      </c>
      <c r="G874" s="306">
        <f t="shared" ca="1" si="388"/>
        <v>6.1814274413646686</v>
      </c>
      <c r="H874" s="307">
        <f t="shared" ca="1" si="389"/>
        <v>-104.98863390944811</v>
      </c>
      <c r="I874" s="304">
        <f t="shared" ca="1" si="390"/>
        <v>105.17044877428724</v>
      </c>
      <c r="J874" s="306">
        <f t="shared" ca="1" si="391"/>
        <v>745.87074281998321</v>
      </c>
      <c r="K874" s="307">
        <f t="shared" ca="1" si="392"/>
        <v>-12.384376372690626</v>
      </c>
      <c r="L874" s="304">
        <f t="shared" ca="1" si="377"/>
        <v>745.97355031728432</v>
      </c>
      <c r="M874" s="306">
        <f t="shared" ca="1" si="393"/>
        <v>-1.5119871075277884</v>
      </c>
      <c r="N874" s="304">
        <f t="shared" ca="1" si="394"/>
        <v>-86.630479939535263</v>
      </c>
      <c r="P874" s="310">
        <f t="shared" ca="1" si="395"/>
        <v>23</v>
      </c>
      <c r="Q874" s="304">
        <f t="shared" ca="1" si="396"/>
        <v>0</v>
      </c>
      <c r="R874" s="306">
        <f t="shared" ca="1" si="397"/>
        <v>0</v>
      </c>
      <c r="S874" s="307">
        <f t="shared" ca="1" si="398"/>
        <v>2.9792999999999985</v>
      </c>
      <c r="T874" s="304">
        <f t="shared" ca="1" si="378"/>
        <v>29.226932999999988</v>
      </c>
      <c r="U874" s="311">
        <f t="shared" ca="1" si="379"/>
        <v>0</v>
      </c>
      <c r="V874" s="306">
        <f t="shared" ca="1" si="380"/>
        <v>1.2265180260959805</v>
      </c>
      <c r="W874" s="304">
        <f t="shared" ca="1" si="381"/>
        <v>27.78012906013986</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0.46867736040694297</v>
      </c>
      <c r="AH874" s="304">
        <f t="shared" ca="1" si="405"/>
        <v>-9.3243631505877396</v>
      </c>
    </row>
    <row r="875" spans="1:34" x14ac:dyDescent="0.2">
      <c r="A875" s="347">
        <f t="shared" ca="1" si="383"/>
        <v>1E-4</v>
      </c>
      <c r="B875" s="304">
        <f t="shared" ca="1" si="384"/>
        <v>36.835500000001389</v>
      </c>
      <c r="D875" s="306">
        <f t="shared" ca="1" si="385"/>
        <v>-0.54804355033586605</v>
      </c>
      <c r="E875" s="307">
        <f t="shared" ca="1" si="386"/>
        <v>-0.50173840210220533</v>
      </c>
      <c r="F875" s="304">
        <f t="shared" ca="1" si="387"/>
        <v>0.74302971488952929</v>
      </c>
      <c r="G875" s="306">
        <f t="shared" ca="1" si="388"/>
        <v>6.1813726370096349</v>
      </c>
      <c r="H875" s="307">
        <f t="shared" ca="1" si="389"/>
        <v>-104.98868408328832</v>
      </c>
      <c r="I875" s="304">
        <f t="shared" ca="1" si="390"/>
        <v>105.17049564026067</v>
      </c>
      <c r="J875" s="306">
        <f t="shared" ca="1" si="391"/>
        <v>745.87074281998321</v>
      </c>
      <c r="K875" s="307">
        <f t="shared" ca="1" si="392"/>
        <v>-12.394875238590263</v>
      </c>
      <c r="L875" s="304">
        <f t="shared" ca="1" si="377"/>
        <v>745.97372468942478</v>
      </c>
      <c r="M875" s="306">
        <f t="shared" ca="1" si="393"/>
        <v>-1.511987655767052</v>
      </c>
      <c r="N875" s="304">
        <f t="shared" ca="1" si="394"/>
        <v>-86.630511351331222</v>
      </c>
      <c r="P875" s="310">
        <f t="shared" ca="1" si="395"/>
        <v>23</v>
      </c>
      <c r="Q875" s="304">
        <f t="shared" ca="1" si="396"/>
        <v>0</v>
      </c>
      <c r="R875" s="306">
        <f t="shared" ca="1" si="397"/>
        <v>0</v>
      </c>
      <c r="S875" s="307">
        <f t="shared" ca="1" si="398"/>
        <v>2.9792999999999985</v>
      </c>
      <c r="T875" s="304">
        <f t="shared" ca="1" si="378"/>
        <v>29.226932999999988</v>
      </c>
      <c r="U875" s="311">
        <f t="shared" ca="1" si="379"/>
        <v>0</v>
      </c>
      <c r="V875" s="306">
        <f t="shared" ca="1" si="380"/>
        <v>1.2265193138019788</v>
      </c>
      <c r="W875" s="304">
        <f t="shared" ca="1" si="381"/>
        <v>27.780182984901774</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0.46865957643000478</v>
      </c>
      <c r="AH875" s="304">
        <f t="shared" ca="1" si="405"/>
        <v>-9.3243812506762911</v>
      </c>
    </row>
    <row r="876" spans="1:34" x14ac:dyDescent="0.2">
      <c r="A876" s="347">
        <f t="shared" ca="1" si="383"/>
        <v>1E-4</v>
      </c>
      <c r="B876" s="304">
        <f t="shared" ca="1" si="384"/>
        <v>36.835600000001392</v>
      </c>
      <c r="D876" s="306">
        <f t="shared" ca="1" si="385"/>
        <v>-0.54803951099359294</v>
      </c>
      <c r="E876" s="307">
        <f t="shared" ca="1" si="386"/>
        <v>-0.50172003312500024</v>
      </c>
      <c r="F876" s="304">
        <f t="shared" ca="1" si="387"/>
        <v>0.74301433179249499</v>
      </c>
      <c r="G876" s="306">
        <f t="shared" ca="1" si="388"/>
        <v>6.1813178330585359</v>
      </c>
      <c r="H876" s="307">
        <f t="shared" ca="1" si="389"/>
        <v>-104.98873425529163</v>
      </c>
      <c r="I876" s="304">
        <f t="shared" ca="1" si="390"/>
        <v>105.17054250445575</v>
      </c>
      <c r="J876" s="306">
        <f t="shared" ca="1" si="391"/>
        <v>745.87074281998321</v>
      </c>
      <c r="K876" s="307">
        <f t="shared" ca="1" si="392"/>
        <v>-12.405374109507193</v>
      </c>
      <c r="L876" s="304">
        <f t="shared" ca="1" si="377"/>
        <v>745.97389920936928</v>
      </c>
      <c r="M876" s="306">
        <f t="shared" ca="1" si="393"/>
        <v>-1.5119882040009662</v>
      </c>
      <c r="N876" s="304">
        <f t="shared" ca="1" si="394"/>
        <v>-86.630542762820696</v>
      </c>
      <c r="P876" s="310">
        <f t="shared" ca="1" si="395"/>
        <v>23</v>
      </c>
      <c r="Q876" s="304">
        <f t="shared" ca="1" si="396"/>
        <v>0</v>
      </c>
      <c r="R876" s="306">
        <f t="shared" ca="1" si="397"/>
        <v>0</v>
      </c>
      <c r="S876" s="307">
        <f t="shared" ca="1" si="398"/>
        <v>2.9792999999999985</v>
      </c>
      <c r="T876" s="304">
        <f t="shared" ca="1" si="378"/>
        <v>29.226932999999988</v>
      </c>
      <c r="U876" s="311">
        <f t="shared" ca="1" si="379"/>
        <v>0</v>
      </c>
      <c r="V876" s="306">
        <f t="shared" ca="1" si="380"/>
        <v>1.226520601509945</v>
      </c>
      <c r="W876" s="304">
        <f t="shared" ca="1" si="381"/>
        <v>27.780236908831796</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0.46864179272626849</v>
      </c>
      <c r="AH876" s="304">
        <f t="shared" ca="1" si="405"/>
        <v>-9.3243993504856135</v>
      </c>
    </row>
    <row r="877" spans="1:34" x14ac:dyDescent="0.2">
      <c r="A877" s="347">
        <f t="shared" ca="1" si="383"/>
        <v>1E-4</v>
      </c>
      <c r="B877" s="304">
        <f t="shared" ca="1" si="384"/>
        <v>36.835700000001395</v>
      </c>
      <c r="D877" s="306">
        <f t="shared" ca="1" si="385"/>
        <v>-0.54803547166472488</v>
      </c>
      <c r="E877" s="307">
        <f t="shared" ca="1" si="386"/>
        <v>-0.50170166443110098</v>
      </c>
      <c r="F877" s="304">
        <f t="shared" ca="1" si="387"/>
        <v>0.74299894905424635</v>
      </c>
      <c r="G877" s="306">
        <f t="shared" ca="1" si="388"/>
        <v>6.1812630295113697</v>
      </c>
      <c r="H877" s="307">
        <f t="shared" ca="1" si="389"/>
        <v>-104.98878442545808</v>
      </c>
      <c r="I877" s="304">
        <f t="shared" ca="1" si="390"/>
        <v>105.17058936687249</v>
      </c>
      <c r="J877" s="306">
        <f t="shared" ca="1" si="391"/>
        <v>745.87074281998321</v>
      </c>
      <c r="K877" s="307">
        <f t="shared" ca="1" si="392"/>
        <v>-12.415872985441231</v>
      </c>
      <c r="L877" s="304">
        <f t="shared" ca="1" si="377"/>
        <v>745.97407387711814</v>
      </c>
      <c r="M877" s="306">
        <f t="shared" ca="1" si="393"/>
        <v>-1.5119887522295314</v>
      </c>
      <c r="N877" s="304">
        <f t="shared" ca="1" si="394"/>
        <v>-86.630574174003698</v>
      </c>
      <c r="P877" s="310">
        <f t="shared" ca="1" si="395"/>
        <v>23</v>
      </c>
      <c r="Q877" s="304">
        <f t="shared" ca="1" si="396"/>
        <v>0</v>
      </c>
      <c r="R877" s="306">
        <f t="shared" ca="1" si="397"/>
        <v>0</v>
      </c>
      <c r="S877" s="307">
        <f t="shared" ca="1" si="398"/>
        <v>2.9792999999999985</v>
      </c>
      <c r="T877" s="304">
        <f t="shared" ca="1" si="378"/>
        <v>29.226932999999988</v>
      </c>
      <c r="U877" s="311">
        <f t="shared" ca="1" si="379"/>
        <v>0</v>
      </c>
      <c r="V877" s="306">
        <f t="shared" ca="1" si="380"/>
        <v>1.2265218892198795</v>
      </c>
      <c r="W877" s="304">
        <f t="shared" ca="1" si="381"/>
        <v>27.780290831929939</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0.46862400929572523</v>
      </c>
      <c r="AH877" s="304">
        <f t="shared" ca="1" si="405"/>
        <v>-9.3244174500157122</v>
      </c>
    </row>
    <row r="878" spans="1:34" x14ac:dyDescent="0.2">
      <c r="A878" s="347">
        <f t="shared" ca="1" si="383"/>
        <v>1E-4</v>
      </c>
      <c r="B878" s="304">
        <f t="shared" ca="1" si="384"/>
        <v>36.835800000001399</v>
      </c>
      <c r="D878" s="306">
        <f t="shared" ca="1" si="385"/>
        <v>-0.54803143234926077</v>
      </c>
      <c r="E878" s="307">
        <f t="shared" ca="1" si="386"/>
        <v>-0.50168329602050221</v>
      </c>
      <c r="F878" s="304">
        <f t="shared" ca="1" si="387"/>
        <v>0.74298356667477994</v>
      </c>
      <c r="G878" s="306">
        <f t="shared" ca="1" si="388"/>
        <v>6.1812082263681347</v>
      </c>
      <c r="H878" s="307">
        <f t="shared" ca="1" si="389"/>
        <v>-104.98883459378769</v>
      </c>
      <c r="I878" s="304">
        <f t="shared" ca="1" si="390"/>
        <v>105.17063622751091</v>
      </c>
      <c r="J878" s="306">
        <f t="shared" ca="1" si="391"/>
        <v>745.87074281998321</v>
      </c>
      <c r="K878" s="307">
        <f t="shared" ca="1" si="392"/>
        <v>-12.426371866392193</v>
      </c>
      <c r="L878" s="304">
        <f t="shared" ca="1" si="377"/>
        <v>745.97424869267127</v>
      </c>
      <c r="M878" s="306">
        <f t="shared" ca="1" si="393"/>
        <v>-1.5119893004527474</v>
      </c>
      <c r="N878" s="304">
        <f t="shared" ca="1" si="394"/>
        <v>-86.6306055848802</v>
      </c>
      <c r="P878" s="310">
        <f t="shared" ca="1" si="395"/>
        <v>23</v>
      </c>
      <c r="Q878" s="304">
        <f t="shared" ca="1" si="396"/>
        <v>0</v>
      </c>
      <c r="R878" s="306">
        <f t="shared" ca="1" si="397"/>
        <v>0</v>
      </c>
      <c r="S878" s="307">
        <f t="shared" ca="1" si="398"/>
        <v>2.9792999999999985</v>
      </c>
      <c r="T878" s="304">
        <f t="shared" ca="1" si="378"/>
        <v>29.226932999999988</v>
      </c>
      <c r="U878" s="311">
        <f t="shared" ca="1" si="379"/>
        <v>0</v>
      </c>
      <c r="V878" s="306">
        <f t="shared" ca="1" si="380"/>
        <v>1.2265231769317819</v>
      </c>
      <c r="W878" s="304">
        <f t="shared" ca="1" si="381"/>
        <v>27.780344754196204</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0.46860622613837677</v>
      </c>
      <c r="AH878" s="304">
        <f t="shared" ca="1" si="405"/>
        <v>-9.3244355492665907</v>
      </c>
    </row>
    <row r="879" spans="1:34" x14ac:dyDescent="0.2">
      <c r="A879" s="347">
        <f t="shared" ca="1" si="383"/>
        <v>1E-4</v>
      </c>
      <c r="B879" s="304">
        <f t="shared" ca="1" si="384"/>
        <v>36.835900000001402</v>
      </c>
      <c r="D879" s="306">
        <f t="shared" ca="1" si="385"/>
        <v>-0.54802739304720349</v>
      </c>
      <c r="E879" s="307">
        <f t="shared" ca="1" si="386"/>
        <v>-0.50166492789320216</v>
      </c>
      <c r="F879" s="304">
        <f t="shared" ca="1" si="387"/>
        <v>0.74296818465409797</v>
      </c>
      <c r="G879" s="306">
        <f t="shared" ca="1" si="388"/>
        <v>6.1811534236288299</v>
      </c>
      <c r="H879" s="307">
        <f t="shared" ca="1" si="389"/>
        <v>-104.98888476028047</v>
      </c>
      <c r="I879" s="304">
        <f t="shared" ca="1" si="390"/>
        <v>105.17068308637104</v>
      </c>
      <c r="J879" s="306">
        <f t="shared" ca="1" si="391"/>
        <v>745.87074281998321</v>
      </c>
      <c r="K879" s="307">
        <f t="shared" ca="1" si="392"/>
        <v>-12.436870752359896</v>
      </c>
      <c r="L879" s="304">
        <f t="shared" ca="1" si="377"/>
        <v>745.97442365602888</v>
      </c>
      <c r="M879" s="306">
        <f t="shared" ca="1" si="393"/>
        <v>-1.5119898486706143</v>
      </c>
      <c r="N879" s="304">
        <f t="shared" ca="1" si="394"/>
        <v>-86.630636995450217</v>
      </c>
      <c r="P879" s="310">
        <f t="shared" ca="1" si="395"/>
        <v>23</v>
      </c>
      <c r="Q879" s="304">
        <f t="shared" ca="1" si="396"/>
        <v>0</v>
      </c>
      <c r="R879" s="306">
        <f t="shared" ca="1" si="397"/>
        <v>0</v>
      </c>
      <c r="S879" s="307">
        <f t="shared" ca="1" si="398"/>
        <v>2.9792999999999985</v>
      </c>
      <c r="T879" s="304">
        <f t="shared" ca="1" si="378"/>
        <v>29.226932999999988</v>
      </c>
      <c r="U879" s="311">
        <f t="shared" ca="1" si="379"/>
        <v>0</v>
      </c>
      <c r="V879" s="306">
        <f t="shared" ca="1" si="380"/>
        <v>1.2265244646456523</v>
      </c>
      <c r="W879" s="304">
        <f t="shared" ca="1" si="381"/>
        <v>27.7803986756306</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0.46858844325422133</v>
      </c>
      <c r="AH879" s="304">
        <f t="shared" ca="1" si="405"/>
        <v>-9.324453648238249</v>
      </c>
    </row>
    <row r="880" spans="1:34" x14ac:dyDescent="0.2">
      <c r="A880" s="347">
        <f t="shared" ca="1" si="383"/>
        <v>1E-4</v>
      </c>
      <c r="B880" s="304">
        <f t="shared" ca="1" si="384"/>
        <v>36.836000000001405</v>
      </c>
      <c r="D880" s="306">
        <f t="shared" ca="1" si="385"/>
        <v>-0.54802335375855193</v>
      </c>
      <c r="E880" s="307">
        <f t="shared" ca="1" si="386"/>
        <v>-0.50164656004919728</v>
      </c>
      <c r="F880" s="304">
        <f t="shared" ca="1" si="387"/>
        <v>0.74295280299219801</v>
      </c>
      <c r="G880" s="306">
        <f t="shared" ca="1" si="388"/>
        <v>6.1810986212934544</v>
      </c>
      <c r="H880" s="307">
        <f t="shared" ca="1" si="389"/>
        <v>-104.98893492493647</v>
      </c>
      <c r="I880" s="304">
        <f t="shared" ca="1" si="390"/>
        <v>105.1707299434529</v>
      </c>
      <c r="J880" s="306">
        <f t="shared" ca="1" si="391"/>
        <v>745.87074281998321</v>
      </c>
      <c r="K880" s="307">
        <f t="shared" ca="1" si="392"/>
        <v>-12.447369643344157</v>
      </c>
      <c r="L880" s="304">
        <f t="shared" ca="1" si="377"/>
        <v>745.97459876719097</v>
      </c>
      <c r="M880" s="306">
        <f t="shared" ca="1" si="393"/>
        <v>-1.5119903968831321</v>
      </c>
      <c r="N880" s="304">
        <f t="shared" ca="1" si="394"/>
        <v>-86.630668405713763</v>
      </c>
      <c r="P880" s="310">
        <f t="shared" ca="1" si="395"/>
        <v>23</v>
      </c>
      <c r="Q880" s="304">
        <f t="shared" ca="1" si="396"/>
        <v>0</v>
      </c>
      <c r="R880" s="306">
        <f t="shared" ca="1" si="397"/>
        <v>0</v>
      </c>
      <c r="S880" s="307">
        <f t="shared" ca="1" si="398"/>
        <v>2.9792999999999985</v>
      </c>
      <c r="T880" s="304">
        <f t="shared" ca="1" si="378"/>
        <v>29.226932999999988</v>
      </c>
      <c r="U880" s="311">
        <f t="shared" ca="1" si="379"/>
        <v>0</v>
      </c>
      <c r="V880" s="306">
        <f t="shared" ca="1" si="380"/>
        <v>1.2265257523614914</v>
      </c>
      <c r="W880" s="304">
        <f t="shared" ca="1" si="381"/>
        <v>27.78045259623314</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0.46857066064325359</v>
      </c>
      <c r="AH880" s="304">
        <f t="shared" ca="1" si="405"/>
        <v>-9.3244717469306924</v>
      </c>
    </row>
    <row r="881" spans="1:34" x14ac:dyDescent="0.2">
      <c r="A881" s="347">
        <f t="shared" ca="1" si="383"/>
        <v>1E-4</v>
      </c>
      <c r="B881" s="304">
        <f t="shared" ca="1" si="384"/>
        <v>36.836100000001409</v>
      </c>
      <c r="D881" s="306">
        <f t="shared" ca="1" si="385"/>
        <v>-0.5480193144833071</v>
      </c>
      <c r="E881" s="307">
        <f t="shared" ca="1" si="386"/>
        <v>-0.501628192488484</v>
      </c>
      <c r="F881" s="304">
        <f t="shared" ca="1" si="387"/>
        <v>0.74293742168907972</v>
      </c>
      <c r="G881" s="306">
        <f t="shared" ca="1" si="388"/>
        <v>6.1810438193620065</v>
      </c>
      <c r="H881" s="307">
        <f t="shared" ca="1" si="389"/>
        <v>-104.98898508775572</v>
      </c>
      <c r="I881" s="304">
        <f t="shared" ca="1" si="390"/>
        <v>105.17077679875655</v>
      </c>
      <c r="J881" s="306">
        <f t="shared" ca="1" si="391"/>
        <v>745.87074281998321</v>
      </c>
      <c r="K881" s="307">
        <f t="shared" ca="1" si="392"/>
        <v>-12.457868539344791</v>
      </c>
      <c r="L881" s="304">
        <f t="shared" ca="1" si="377"/>
        <v>745.97477402615777</v>
      </c>
      <c r="M881" s="306">
        <f t="shared" ca="1" si="393"/>
        <v>-1.5119909450903009</v>
      </c>
      <c r="N881" s="304">
        <f t="shared" ca="1" si="394"/>
        <v>-86.630699815670837</v>
      </c>
      <c r="P881" s="310">
        <f t="shared" ca="1" si="395"/>
        <v>23</v>
      </c>
      <c r="Q881" s="304">
        <f t="shared" ca="1" si="396"/>
        <v>0</v>
      </c>
      <c r="R881" s="306">
        <f t="shared" ca="1" si="397"/>
        <v>0</v>
      </c>
      <c r="S881" s="307">
        <f t="shared" ca="1" si="398"/>
        <v>2.9792999999999985</v>
      </c>
      <c r="T881" s="304">
        <f t="shared" ca="1" si="378"/>
        <v>29.226932999999988</v>
      </c>
      <c r="U881" s="311">
        <f t="shared" ca="1" si="379"/>
        <v>0</v>
      </c>
      <c r="V881" s="306">
        <f t="shared" ca="1" si="380"/>
        <v>1.226527040079298</v>
      </c>
      <c r="W881" s="304">
        <f t="shared" ca="1" si="381"/>
        <v>27.780506516003847</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0.46855287830546999</v>
      </c>
      <c r="AH881" s="304">
        <f t="shared" ca="1" si="405"/>
        <v>-9.3244898453439244</v>
      </c>
    </row>
    <row r="882" spans="1:34" x14ac:dyDescent="0.2">
      <c r="A882" s="347">
        <f t="shared" ca="1" si="383"/>
        <v>1E-4</v>
      </c>
      <c r="B882" s="304">
        <f t="shared" ca="1" si="384"/>
        <v>36.836200000001412</v>
      </c>
      <c r="D882" s="306">
        <f t="shared" ca="1" si="385"/>
        <v>-0.54801527522146998</v>
      </c>
      <c r="E882" s="307">
        <f t="shared" ca="1" si="386"/>
        <v>-0.50160982521105701</v>
      </c>
      <c r="F882" s="304">
        <f t="shared" ca="1" si="387"/>
        <v>0.742922040744741</v>
      </c>
      <c r="G882" s="306">
        <f t="shared" ca="1" si="388"/>
        <v>6.1809890178344844</v>
      </c>
      <c r="H882" s="307">
        <f t="shared" ca="1" si="389"/>
        <v>-104.98903524873825</v>
      </c>
      <c r="I882" s="304">
        <f t="shared" ca="1" si="390"/>
        <v>105.17082365228197</v>
      </c>
      <c r="J882" s="306">
        <f t="shared" ca="1" si="391"/>
        <v>745.87074281998321</v>
      </c>
      <c r="K882" s="307">
        <f t="shared" ca="1" si="392"/>
        <v>-12.468367440361614</v>
      </c>
      <c r="L882" s="304">
        <f t="shared" ca="1" si="377"/>
        <v>745.97494943292929</v>
      </c>
      <c r="M882" s="306">
        <f t="shared" ca="1" si="393"/>
        <v>-1.5119914932921208</v>
      </c>
      <c r="N882" s="304">
        <f t="shared" ca="1" si="394"/>
        <v>-86.630731225321441</v>
      </c>
      <c r="P882" s="310">
        <f t="shared" ca="1" si="395"/>
        <v>23</v>
      </c>
      <c r="Q882" s="304">
        <f t="shared" ca="1" si="396"/>
        <v>0</v>
      </c>
      <c r="R882" s="306">
        <f t="shared" ca="1" si="397"/>
        <v>0</v>
      </c>
      <c r="S882" s="307">
        <f t="shared" ca="1" si="398"/>
        <v>2.9792999999999985</v>
      </c>
      <c r="T882" s="304">
        <f t="shared" ca="1" si="378"/>
        <v>29.226932999999988</v>
      </c>
      <c r="U882" s="311">
        <f t="shared" ca="1" si="379"/>
        <v>0</v>
      </c>
      <c r="V882" s="306">
        <f t="shared" ca="1" si="380"/>
        <v>1.2265283277990726</v>
      </c>
      <c r="W882" s="304">
        <f t="shared" ca="1" si="381"/>
        <v>27.780560434942696</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0.4685350962408652</v>
      </c>
      <c r="AH882" s="304">
        <f t="shared" ca="1" si="405"/>
        <v>-9.3245079434779505</v>
      </c>
    </row>
    <row r="883" spans="1:34" x14ac:dyDescent="0.2">
      <c r="A883" s="347">
        <f t="shared" ca="1" si="383"/>
        <v>1E-4</v>
      </c>
      <c r="B883" s="304">
        <f t="shared" ca="1" si="384"/>
        <v>36.836300000001415</v>
      </c>
      <c r="D883" s="306">
        <f t="shared" ca="1" si="385"/>
        <v>-0.54801123597303913</v>
      </c>
      <c r="E883" s="307">
        <f t="shared" ca="1" si="386"/>
        <v>-0.50159145821691986</v>
      </c>
      <c r="F883" s="304">
        <f t="shared" ca="1" si="387"/>
        <v>0.7429066601591845</v>
      </c>
      <c r="G883" s="306">
        <f t="shared" ca="1" si="388"/>
        <v>6.1809342167108872</v>
      </c>
      <c r="H883" s="307">
        <f t="shared" ca="1" si="389"/>
        <v>-104.98908540788406</v>
      </c>
      <c r="I883" s="304">
        <f t="shared" ca="1" si="390"/>
        <v>105.17087050402921</v>
      </c>
      <c r="J883" s="306">
        <f t="shared" ca="1" si="391"/>
        <v>745.87074281998321</v>
      </c>
      <c r="K883" s="307">
        <f t="shared" ca="1" si="392"/>
        <v>-12.478866346394446</v>
      </c>
      <c r="L883" s="304">
        <f t="shared" ca="1" si="377"/>
        <v>745.97512498750564</v>
      </c>
      <c r="M883" s="306">
        <f t="shared" ca="1" si="393"/>
        <v>-1.5119920414885921</v>
      </c>
      <c r="N883" s="304">
        <f t="shared" ca="1" si="394"/>
        <v>-86.630762634665601</v>
      </c>
      <c r="P883" s="310">
        <f t="shared" ca="1" si="395"/>
        <v>23</v>
      </c>
      <c r="Q883" s="304">
        <f t="shared" ca="1" si="396"/>
        <v>0</v>
      </c>
      <c r="R883" s="306">
        <f t="shared" ca="1" si="397"/>
        <v>0</v>
      </c>
      <c r="S883" s="307">
        <f t="shared" ca="1" si="398"/>
        <v>2.9792999999999985</v>
      </c>
      <c r="T883" s="304">
        <f t="shared" ca="1" si="378"/>
        <v>29.226932999999988</v>
      </c>
      <c r="U883" s="311">
        <f t="shared" ca="1" si="379"/>
        <v>0</v>
      </c>
      <c r="V883" s="306">
        <f t="shared" ca="1" si="380"/>
        <v>1.2265296155208159</v>
      </c>
      <c r="W883" s="304">
        <f t="shared" ca="1" si="381"/>
        <v>27.780614353049742</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0.468517314449441</v>
      </c>
      <c r="AH883" s="304">
        <f t="shared" ca="1" si="405"/>
        <v>-9.3245260413327671</v>
      </c>
    </row>
    <row r="884" spans="1:34" x14ac:dyDescent="0.2">
      <c r="A884" s="347">
        <f t="shared" ca="1" si="383"/>
        <v>1E-4</v>
      </c>
      <c r="B884" s="304">
        <f t="shared" ca="1" si="384"/>
        <v>36.836400000001419</v>
      </c>
      <c r="D884" s="306">
        <f t="shared" ca="1" si="385"/>
        <v>-0.5480071967380139</v>
      </c>
      <c r="E884" s="307">
        <f t="shared" ca="1" si="386"/>
        <v>-0.50157309150605833</v>
      </c>
      <c r="F884" s="304">
        <f t="shared" ca="1" si="387"/>
        <v>0.74289127993240101</v>
      </c>
      <c r="G884" s="306">
        <f t="shared" ca="1" si="388"/>
        <v>6.180879415991213</v>
      </c>
      <c r="H884" s="307">
        <f t="shared" ca="1" si="389"/>
        <v>-104.98913556519321</v>
      </c>
      <c r="I884" s="304">
        <f t="shared" ca="1" si="390"/>
        <v>105.17091735399831</v>
      </c>
      <c r="J884" s="306">
        <f t="shared" ca="1" si="391"/>
        <v>745.87074281998321</v>
      </c>
      <c r="K884" s="307">
        <f t="shared" ca="1" si="392"/>
        <v>-12.489365257443099</v>
      </c>
      <c r="L884" s="304">
        <f t="shared" ca="1" si="377"/>
        <v>745.97530068988704</v>
      </c>
      <c r="M884" s="306">
        <f t="shared" ca="1" si="393"/>
        <v>-1.5119925896797144</v>
      </c>
      <c r="N884" s="304">
        <f t="shared" ca="1" si="394"/>
        <v>-86.630794043703261</v>
      </c>
      <c r="P884" s="310">
        <f t="shared" ca="1" si="395"/>
        <v>23</v>
      </c>
      <c r="Q884" s="304">
        <f t="shared" ca="1" si="396"/>
        <v>0</v>
      </c>
      <c r="R884" s="306">
        <f t="shared" ca="1" si="397"/>
        <v>0</v>
      </c>
      <c r="S884" s="307">
        <f t="shared" ca="1" si="398"/>
        <v>2.9792999999999985</v>
      </c>
      <c r="T884" s="304">
        <f t="shared" ca="1" si="378"/>
        <v>29.226932999999988</v>
      </c>
      <c r="U884" s="311">
        <f t="shared" ca="1" si="379"/>
        <v>0</v>
      </c>
      <c r="V884" s="306">
        <f t="shared" ca="1" si="380"/>
        <v>1.2265309032445266</v>
      </c>
      <c r="W884" s="304">
        <f t="shared" ca="1" si="381"/>
        <v>27.780668270324959</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0.46849953293118851</v>
      </c>
      <c r="AH884" s="304">
        <f t="shared" ca="1" si="405"/>
        <v>-9.3245441389083865</v>
      </c>
    </row>
    <row r="885" spans="1:34" x14ac:dyDescent="0.2">
      <c r="A885" s="347">
        <f t="shared" ca="1" si="383"/>
        <v>1E-4</v>
      </c>
      <c r="B885" s="304">
        <f t="shared" ca="1" si="384"/>
        <v>36.836500000001422</v>
      </c>
      <c r="D885" s="306">
        <f t="shared" ca="1" si="385"/>
        <v>-0.54800315751639905</v>
      </c>
      <c r="E885" s="307">
        <f t="shared" ca="1" si="386"/>
        <v>-0.50155472507847954</v>
      </c>
      <c r="F885" s="304">
        <f t="shared" ca="1" si="387"/>
        <v>0.74287590006439996</v>
      </c>
      <c r="G885" s="306">
        <f t="shared" ca="1" si="388"/>
        <v>6.1808246156754612</v>
      </c>
      <c r="H885" s="307">
        <f t="shared" ca="1" si="389"/>
        <v>-104.98918572066572</v>
      </c>
      <c r="I885" s="304">
        <f t="shared" ca="1" si="390"/>
        <v>105.17096420218928</v>
      </c>
      <c r="J885" s="306">
        <f t="shared" ca="1" si="391"/>
        <v>745.87074281998321</v>
      </c>
      <c r="K885" s="307">
        <f t="shared" ca="1" si="392"/>
        <v>-12.499864173507392</v>
      </c>
      <c r="L885" s="304">
        <f t="shared" ca="1" si="377"/>
        <v>745.97547654007337</v>
      </c>
      <c r="M885" s="306">
        <f t="shared" ca="1" si="393"/>
        <v>-1.5119931378654881</v>
      </c>
      <c r="N885" s="304">
        <f t="shared" ca="1" si="394"/>
        <v>-86.630825452434493</v>
      </c>
      <c r="P885" s="310">
        <f t="shared" ca="1" si="395"/>
        <v>23</v>
      </c>
      <c r="Q885" s="304">
        <f t="shared" ca="1" si="396"/>
        <v>0</v>
      </c>
      <c r="R885" s="306">
        <f t="shared" ca="1" si="397"/>
        <v>0</v>
      </c>
      <c r="S885" s="307">
        <f t="shared" ca="1" si="398"/>
        <v>2.9792999999999985</v>
      </c>
      <c r="T885" s="304">
        <f t="shared" ca="1" si="378"/>
        <v>29.226932999999988</v>
      </c>
      <c r="U885" s="311">
        <f t="shared" ca="1" si="379"/>
        <v>0</v>
      </c>
      <c r="V885" s="306">
        <f t="shared" ca="1" si="380"/>
        <v>1.2265321909702056</v>
      </c>
      <c r="W885" s="304">
        <f t="shared" ca="1" si="381"/>
        <v>27.780722186768376</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0.46848175168611128</v>
      </c>
      <c r="AH885" s="304">
        <f t="shared" ca="1" si="405"/>
        <v>-9.3245622362048035</v>
      </c>
    </row>
    <row r="886" spans="1:34" x14ac:dyDescent="0.2">
      <c r="A886" s="347">
        <f t="shared" ca="1" si="383"/>
        <v>1E-4</v>
      </c>
      <c r="B886" s="304">
        <f t="shared" ca="1" si="384"/>
        <v>36.836600000001425</v>
      </c>
      <c r="D886" s="306">
        <f t="shared" ca="1" si="385"/>
        <v>-0.5479991183081917</v>
      </c>
      <c r="E886" s="307">
        <f t="shared" ca="1" si="386"/>
        <v>-0.50153635893417281</v>
      </c>
      <c r="F886" s="304">
        <f t="shared" ca="1" si="387"/>
        <v>0.74286052055517315</v>
      </c>
      <c r="G886" s="306">
        <f t="shared" ca="1" si="388"/>
        <v>6.1807698157636306</v>
      </c>
      <c r="H886" s="307">
        <f t="shared" ca="1" si="389"/>
        <v>-104.98923587430161</v>
      </c>
      <c r="I886" s="304">
        <f t="shared" ca="1" si="390"/>
        <v>105.17101104860214</v>
      </c>
      <c r="J886" s="306">
        <f t="shared" ca="1" si="391"/>
        <v>745.87074281998321</v>
      </c>
      <c r="K886" s="307">
        <f t="shared" ca="1" si="392"/>
        <v>-12.51036309458714</v>
      </c>
      <c r="L886" s="304">
        <f t="shared" ca="1" si="377"/>
        <v>745.97565253806499</v>
      </c>
      <c r="M886" s="306">
        <f t="shared" ca="1" si="393"/>
        <v>-1.5119936860459133</v>
      </c>
      <c r="N886" s="304">
        <f t="shared" ca="1" si="394"/>
        <v>-86.630856860859268</v>
      </c>
      <c r="P886" s="310">
        <f t="shared" ca="1" si="395"/>
        <v>23</v>
      </c>
      <c r="Q886" s="304">
        <f t="shared" ca="1" si="396"/>
        <v>0</v>
      </c>
      <c r="R886" s="306">
        <f t="shared" ca="1" si="397"/>
        <v>0</v>
      </c>
      <c r="S886" s="307">
        <f t="shared" ca="1" si="398"/>
        <v>2.9792999999999985</v>
      </c>
      <c r="T886" s="304">
        <f t="shared" ca="1" si="378"/>
        <v>29.226932999999988</v>
      </c>
      <c r="U886" s="311">
        <f t="shared" ca="1" si="379"/>
        <v>0</v>
      </c>
      <c r="V886" s="306">
        <f t="shared" ca="1" si="380"/>
        <v>1.2265334786978526</v>
      </c>
      <c r="W886" s="304">
        <f t="shared" ca="1" si="381"/>
        <v>27.780776102379985</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0.46846397071420043</v>
      </c>
      <c r="AH886" s="304">
        <f t="shared" ca="1" si="405"/>
        <v>-9.3245803332220287</v>
      </c>
    </row>
    <row r="887" spans="1:34" x14ac:dyDescent="0.2">
      <c r="A887" s="347">
        <f t="shared" ca="1" si="383"/>
        <v>1E-4</v>
      </c>
      <c r="B887" s="304">
        <f t="shared" ca="1" si="384"/>
        <v>36.836700000001429</v>
      </c>
      <c r="D887" s="306">
        <f t="shared" ca="1" si="385"/>
        <v>-0.54799507911339007</v>
      </c>
      <c r="E887" s="307">
        <f t="shared" ca="1" si="386"/>
        <v>-0.50151799307314171</v>
      </c>
      <c r="F887" s="304">
        <f t="shared" ca="1" si="387"/>
        <v>0.74284514140472269</v>
      </c>
      <c r="G887" s="306">
        <f t="shared" ca="1" si="388"/>
        <v>6.1807150162557196</v>
      </c>
      <c r="H887" s="307">
        <f t="shared" ca="1" si="389"/>
        <v>-104.98928602610093</v>
      </c>
      <c r="I887" s="304">
        <f t="shared" ca="1" si="390"/>
        <v>105.17105789323696</v>
      </c>
      <c r="J887" s="306">
        <f t="shared" ca="1" si="391"/>
        <v>745.87074281998321</v>
      </c>
      <c r="K887" s="307">
        <f t="shared" ca="1" si="392"/>
        <v>-12.520862020682159</v>
      </c>
      <c r="L887" s="304">
        <f t="shared" ca="1" si="377"/>
        <v>745.97582868386189</v>
      </c>
      <c r="M887" s="306">
        <f t="shared" ca="1" si="393"/>
        <v>-1.5119942342209898</v>
      </c>
      <c r="N887" s="304">
        <f t="shared" ca="1" si="394"/>
        <v>-86.630888268977586</v>
      </c>
      <c r="P887" s="310">
        <f t="shared" ca="1" si="395"/>
        <v>23</v>
      </c>
      <c r="Q887" s="304">
        <f t="shared" ca="1" si="396"/>
        <v>0</v>
      </c>
      <c r="R887" s="306">
        <f t="shared" ca="1" si="397"/>
        <v>0</v>
      </c>
      <c r="S887" s="307">
        <f t="shared" ca="1" si="398"/>
        <v>2.9792999999999985</v>
      </c>
      <c r="T887" s="304">
        <f t="shared" ca="1" si="378"/>
        <v>29.226932999999988</v>
      </c>
      <c r="U887" s="311">
        <f t="shared" ca="1" si="379"/>
        <v>0</v>
      </c>
      <c r="V887" s="306">
        <f t="shared" ca="1" si="380"/>
        <v>1.2265347664274673</v>
      </c>
      <c r="W887" s="304">
        <f t="shared" ca="1" si="381"/>
        <v>27.780830017159833</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0.46844619001546128</v>
      </c>
      <c r="AH887" s="304">
        <f t="shared" ca="1" si="405"/>
        <v>-9.3245984299600568</v>
      </c>
    </row>
    <row r="888" spans="1:34" x14ac:dyDescent="0.2">
      <c r="A888" s="347">
        <f t="shared" ca="1" si="383"/>
        <v>1E-4</v>
      </c>
      <c r="B888" s="304">
        <f t="shared" ca="1" si="384"/>
        <v>36.836800000001432</v>
      </c>
      <c r="D888" s="306">
        <f t="shared" ca="1" si="385"/>
        <v>-0.54799103993200038</v>
      </c>
      <c r="E888" s="307">
        <f t="shared" ca="1" si="386"/>
        <v>-0.50149962749537202</v>
      </c>
      <c r="F888" s="304">
        <f t="shared" ca="1" si="387"/>
        <v>0.74282976261304456</v>
      </c>
      <c r="G888" s="306">
        <f t="shared" ca="1" si="388"/>
        <v>6.1806602171517264</v>
      </c>
      <c r="H888" s="307">
        <f t="shared" ca="1" si="389"/>
        <v>-104.98933617606367</v>
      </c>
      <c r="I888" s="304">
        <f t="shared" ca="1" si="390"/>
        <v>105.17110473609372</v>
      </c>
      <c r="J888" s="306">
        <f t="shared" ca="1" si="391"/>
        <v>745.87074281998321</v>
      </c>
      <c r="K888" s="307">
        <f t="shared" ca="1" si="392"/>
        <v>-12.531360951792267</v>
      </c>
      <c r="L888" s="304">
        <f t="shared" ca="1" si="377"/>
        <v>745.97600497746407</v>
      </c>
      <c r="M888" s="306">
        <f t="shared" ca="1" si="393"/>
        <v>-1.5119947823907178</v>
      </c>
      <c r="N888" s="304">
        <f t="shared" ca="1" si="394"/>
        <v>-86.63091967678946</v>
      </c>
      <c r="P888" s="310">
        <f t="shared" ca="1" si="395"/>
        <v>23</v>
      </c>
      <c r="Q888" s="304">
        <f t="shared" ca="1" si="396"/>
        <v>0</v>
      </c>
      <c r="R888" s="306">
        <f t="shared" ca="1" si="397"/>
        <v>0</v>
      </c>
      <c r="S888" s="307">
        <f t="shared" ca="1" si="398"/>
        <v>2.9792999999999985</v>
      </c>
      <c r="T888" s="304">
        <f t="shared" ca="1" si="378"/>
        <v>29.226932999999988</v>
      </c>
      <c r="U888" s="311">
        <f t="shared" ca="1" si="379"/>
        <v>0</v>
      </c>
      <c r="V888" s="306">
        <f t="shared" ca="1" si="380"/>
        <v>1.22653605415905</v>
      </c>
      <c r="W888" s="304">
        <f t="shared" ca="1" si="381"/>
        <v>27.780883931107876</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0.46842840958987075</v>
      </c>
      <c r="AH888" s="304">
        <f t="shared" ca="1" si="405"/>
        <v>-9.3246165264189056</v>
      </c>
    </row>
    <row r="889" spans="1:34" x14ac:dyDescent="0.2">
      <c r="A889" s="347">
        <f t="shared" ca="1" si="383"/>
        <v>1E-4</v>
      </c>
      <c r="B889" s="304">
        <f t="shared" ca="1" si="384"/>
        <v>36.836900000001435</v>
      </c>
      <c r="D889" s="306">
        <f t="shared" ca="1" si="385"/>
        <v>-0.54798700076401818</v>
      </c>
      <c r="E889" s="307">
        <f t="shared" ca="1" si="386"/>
        <v>-0.50148126220087264</v>
      </c>
      <c r="F889" s="304">
        <f t="shared" ca="1" si="387"/>
        <v>0.74281438418014256</v>
      </c>
      <c r="G889" s="306">
        <f t="shared" ca="1" si="388"/>
        <v>6.1806054184516501</v>
      </c>
      <c r="H889" s="307">
        <f t="shared" ca="1" si="389"/>
        <v>-104.98938632418989</v>
      </c>
      <c r="I889" s="304">
        <f t="shared" ca="1" si="390"/>
        <v>105.17115157717245</v>
      </c>
      <c r="J889" s="306">
        <f t="shared" ca="1" si="391"/>
        <v>745.87074281998321</v>
      </c>
      <c r="K889" s="307">
        <f t="shared" ca="1" si="392"/>
        <v>-12.54185988791728</v>
      </c>
      <c r="L889" s="304">
        <f t="shared" ca="1" si="377"/>
        <v>745.97618141887187</v>
      </c>
      <c r="M889" s="306">
        <f t="shared" ca="1" si="393"/>
        <v>-1.5119953305550973</v>
      </c>
      <c r="N889" s="304">
        <f t="shared" ca="1" si="394"/>
        <v>-86.630951084294878</v>
      </c>
      <c r="P889" s="310">
        <f t="shared" ca="1" si="395"/>
        <v>23</v>
      </c>
      <c r="Q889" s="304">
        <f t="shared" ca="1" si="396"/>
        <v>0</v>
      </c>
      <c r="R889" s="306">
        <f t="shared" ca="1" si="397"/>
        <v>0</v>
      </c>
      <c r="S889" s="307">
        <f t="shared" ca="1" si="398"/>
        <v>2.9792999999999985</v>
      </c>
      <c r="T889" s="304">
        <f t="shared" ca="1" si="378"/>
        <v>29.226932999999988</v>
      </c>
      <c r="U889" s="311">
        <f t="shared" ca="1" si="379"/>
        <v>0</v>
      </c>
      <c r="V889" s="306">
        <f t="shared" ca="1" si="380"/>
        <v>1.2265373418926009</v>
      </c>
      <c r="W889" s="304">
        <f t="shared" ca="1" si="381"/>
        <v>27.780937844224166</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0.46841062943745193</v>
      </c>
      <c r="AH889" s="304">
        <f t="shared" ca="1" si="405"/>
        <v>-9.3246346225985608</v>
      </c>
    </row>
    <row r="890" spans="1:34" x14ac:dyDescent="0.2">
      <c r="A890" s="347">
        <f t="shared" ca="1" si="383"/>
        <v>1E-4</v>
      </c>
      <c r="B890" s="304">
        <f t="shared" ca="1" si="384"/>
        <v>36.837000000001439</v>
      </c>
      <c r="D890" s="306">
        <f t="shared" ca="1" si="385"/>
        <v>-0.54798296160944726</v>
      </c>
      <c r="E890" s="307">
        <f t="shared" ca="1" si="386"/>
        <v>-0.50146289718963466</v>
      </c>
      <c r="F890" s="304">
        <f t="shared" ca="1" si="387"/>
        <v>0.74279900610601457</v>
      </c>
      <c r="G890" s="306">
        <f t="shared" ca="1" si="388"/>
        <v>6.180550620155489</v>
      </c>
      <c r="H890" s="307">
        <f t="shared" ca="1" si="389"/>
        <v>-104.98943647047962</v>
      </c>
      <c r="I890" s="304">
        <f t="shared" ca="1" si="390"/>
        <v>105.17119841647323</v>
      </c>
      <c r="J890" s="306">
        <f t="shared" ca="1" si="391"/>
        <v>745.87074281998321</v>
      </c>
      <c r="K890" s="307">
        <f t="shared" ca="1" si="392"/>
        <v>-12.552358829057013</v>
      </c>
      <c r="L890" s="304">
        <f t="shared" ca="1" si="377"/>
        <v>745.97635800808519</v>
      </c>
      <c r="M890" s="306">
        <f t="shared" ca="1" si="393"/>
        <v>-1.5119958787141285</v>
      </c>
      <c r="N890" s="304">
        <f t="shared" ca="1" si="394"/>
        <v>-86.630982491493867</v>
      </c>
      <c r="P890" s="310">
        <f t="shared" ca="1" si="395"/>
        <v>23</v>
      </c>
      <c r="Q890" s="304">
        <f t="shared" ca="1" si="396"/>
        <v>0</v>
      </c>
      <c r="R890" s="306">
        <f t="shared" ca="1" si="397"/>
        <v>0</v>
      </c>
      <c r="S890" s="307">
        <f t="shared" ca="1" si="398"/>
        <v>2.9792999999999985</v>
      </c>
      <c r="T890" s="304">
        <f t="shared" ca="1" si="378"/>
        <v>29.226932999999988</v>
      </c>
      <c r="U890" s="311">
        <f t="shared" ca="1" si="379"/>
        <v>0</v>
      </c>
      <c r="V890" s="306">
        <f t="shared" ca="1" si="380"/>
        <v>1.2265386296281193</v>
      </c>
      <c r="W890" s="304">
        <f t="shared" ca="1" si="381"/>
        <v>27.780991756508708</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0.46839284955818528</v>
      </c>
      <c r="AH890" s="304">
        <f t="shared" ca="1" si="405"/>
        <v>-9.3246527184990367</v>
      </c>
    </row>
    <row r="891" spans="1:34" x14ac:dyDescent="0.2">
      <c r="A891" s="347">
        <f t="shared" ca="1" si="383"/>
        <v>1E-4</v>
      </c>
      <c r="B891" s="304">
        <f t="shared" ca="1" si="384"/>
        <v>36.837100000001442</v>
      </c>
      <c r="D891" s="306">
        <f t="shared" ca="1" si="385"/>
        <v>-0.54797892246828461</v>
      </c>
      <c r="E891" s="307">
        <f t="shared" ca="1" si="386"/>
        <v>-0.50144453246164744</v>
      </c>
      <c r="F891" s="304">
        <f t="shared" ca="1" si="387"/>
        <v>0.74278362839065215</v>
      </c>
      <c r="G891" s="306">
        <f t="shared" ca="1" si="388"/>
        <v>6.180495822263242</v>
      </c>
      <c r="H891" s="307">
        <f t="shared" ca="1" si="389"/>
        <v>-104.98948661493286</v>
      </c>
      <c r="I891" s="304">
        <f t="shared" ca="1" si="390"/>
        <v>105.17124525399602</v>
      </c>
      <c r="J891" s="306">
        <f t="shared" ca="1" si="391"/>
        <v>745.87074281998321</v>
      </c>
      <c r="K891" s="307">
        <f t="shared" ca="1" si="392"/>
        <v>-12.562857775211285</v>
      </c>
      <c r="L891" s="304">
        <f t="shared" ca="1" si="377"/>
        <v>745.97653474510423</v>
      </c>
      <c r="M891" s="306">
        <f t="shared" ca="1" si="393"/>
        <v>-1.5119964268678112</v>
      </c>
      <c r="N891" s="304">
        <f t="shared" ca="1" si="394"/>
        <v>-86.631013898386414</v>
      </c>
      <c r="P891" s="310">
        <f t="shared" ca="1" si="395"/>
        <v>23</v>
      </c>
      <c r="Q891" s="304">
        <f t="shared" ca="1" si="396"/>
        <v>0</v>
      </c>
      <c r="R891" s="306">
        <f t="shared" ca="1" si="397"/>
        <v>0</v>
      </c>
      <c r="S891" s="307">
        <f t="shared" ca="1" si="398"/>
        <v>2.9792999999999985</v>
      </c>
      <c r="T891" s="304">
        <f t="shared" ca="1" si="378"/>
        <v>29.226932999999988</v>
      </c>
      <c r="U891" s="311">
        <f t="shared" ca="1" si="379"/>
        <v>0</v>
      </c>
      <c r="V891" s="306">
        <f t="shared" ca="1" si="380"/>
        <v>1.226539917365606</v>
      </c>
      <c r="W891" s="304">
        <f t="shared" ca="1" si="381"/>
        <v>27.781045667961507</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0.46837506995206546</v>
      </c>
      <c r="AH891" s="304">
        <f t="shared" ca="1" si="405"/>
        <v>-9.3246708141203385</v>
      </c>
    </row>
    <row r="892" spans="1:34" x14ac:dyDescent="0.2">
      <c r="A892" s="347">
        <f t="shared" ca="1" si="383"/>
        <v>1E-4</v>
      </c>
      <c r="B892" s="304">
        <f t="shared" ca="1" si="384"/>
        <v>36.837200000001445</v>
      </c>
      <c r="D892" s="306">
        <f t="shared" ca="1" si="385"/>
        <v>-0.54797488334053479</v>
      </c>
      <c r="E892" s="307">
        <f t="shared" ca="1" si="386"/>
        <v>-0.50142616801691808</v>
      </c>
      <c r="F892" s="304">
        <f t="shared" ca="1" si="387"/>
        <v>0.74276825103406463</v>
      </c>
      <c r="G892" s="306">
        <f t="shared" ca="1" si="388"/>
        <v>6.1804410247749075</v>
      </c>
      <c r="H892" s="307">
        <f t="shared" ca="1" si="389"/>
        <v>-104.98953675754966</v>
      </c>
      <c r="I892" s="304">
        <f t="shared" ca="1" si="390"/>
        <v>105.17129208974087</v>
      </c>
      <c r="J892" s="306">
        <f t="shared" ca="1" si="391"/>
        <v>745.87074281998321</v>
      </c>
      <c r="K892" s="307">
        <f t="shared" ca="1" si="392"/>
        <v>-12.57335672637991</v>
      </c>
      <c r="L892" s="304">
        <f t="shared" ca="1" si="377"/>
        <v>745.97671162992901</v>
      </c>
      <c r="M892" s="306">
        <f t="shared" ca="1" si="393"/>
        <v>-1.5119969750161459</v>
      </c>
      <c r="N892" s="304">
        <f t="shared" ca="1" si="394"/>
        <v>-86.631045304972545</v>
      </c>
      <c r="P892" s="310">
        <f t="shared" ca="1" si="395"/>
        <v>23</v>
      </c>
      <c r="Q892" s="304">
        <f t="shared" ca="1" si="396"/>
        <v>0</v>
      </c>
      <c r="R892" s="306">
        <f t="shared" ca="1" si="397"/>
        <v>0</v>
      </c>
      <c r="S892" s="307">
        <f t="shared" ca="1" si="398"/>
        <v>2.9792999999999985</v>
      </c>
      <c r="T892" s="304">
        <f t="shared" ca="1" si="378"/>
        <v>29.226932999999988</v>
      </c>
      <c r="U892" s="311">
        <f t="shared" ca="1" si="379"/>
        <v>0</v>
      </c>
      <c r="V892" s="306">
        <f t="shared" ca="1" si="380"/>
        <v>1.2265412051050606</v>
      </c>
      <c r="W892" s="304">
        <f t="shared" ca="1" si="381"/>
        <v>27.781099578582559</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0.46835729061909603</v>
      </c>
      <c r="AH892" s="304">
        <f t="shared" ca="1" si="405"/>
        <v>-9.3246889094624645</v>
      </c>
    </row>
    <row r="893" spans="1:34" x14ac:dyDescent="0.2">
      <c r="A893" s="347">
        <f t="shared" ca="1" si="383"/>
        <v>1E-4</v>
      </c>
      <c r="B893" s="304">
        <f t="shared" ca="1" si="384"/>
        <v>36.837300000001449</v>
      </c>
      <c r="D893" s="306">
        <f t="shared" ca="1" si="385"/>
        <v>-0.54797084422619258</v>
      </c>
      <c r="E893" s="307">
        <f t="shared" ca="1" si="386"/>
        <v>-0.50140780385544126</v>
      </c>
      <c r="F893" s="304">
        <f t="shared" ca="1" si="387"/>
        <v>0.74275287403624557</v>
      </c>
      <c r="G893" s="306">
        <f t="shared" ca="1" si="388"/>
        <v>6.1803862276904846</v>
      </c>
      <c r="H893" s="307">
        <f t="shared" ca="1" si="389"/>
        <v>-104.98958689833005</v>
      </c>
      <c r="I893" s="304">
        <f t="shared" ca="1" si="390"/>
        <v>105.17133892370784</v>
      </c>
      <c r="J893" s="306">
        <f t="shared" ca="1" si="391"/>
        <v>745.87074281998321</v>
      </c>
      <c r="K893" s="307">
        <f t="shared" ca="1" si="392"/>
        <v>-12.583855682562703</v>
      </c>
      <c r="L893" s="304">
        <f t="shared" ca="1" si="377"/>
        <v>745.97688866255976</v>
      </c>
      <c r="M893" s="306">
        <f t="shared" ca="1" si="393"/>
        <v>-1.5119975231591323</v>
      </c>
      <c r="N893" s="304">
        <f t="shared" ca="1" si="394"/>
        <v>-86.63107671125222</v>
      </c>
      <c r="P893" s="310">
        <f t="shared" ca="1" si="395"/>
        <v>23</v>
      </c>
      <c r="Q893" s="304">
        <f t="shared" ca="1" si="396"/>
        <v>0</v>
      </c>
      <c r="R893" s="306">
        <f t="shared" ca="1" si="397"/>
        <v>0</v>
      </c>
      <c r="S893" s="307">
        <f t="shared" ca="1" si="398"/>
        <v>2.9792999999999985</v>
      </c>
      <c r="T893" s="304">
        <f t="shared" ca="1" si="378"/>
        <v>29.226932999999988</v>
      </c>
      <c r="U893" s="311">
        <f t="shared" ca="1" si="379"/>
        <v>0</v>
      </c>
      <c r="V893" s="306">
        <f t="shared" ca="1" si="380"/>
        <v>1.2265424928464825</v>
      </c>
      <c r="W893" s="304">
        <f t="shared" ca="1" si="381"/>
        <v>27.781153488371881</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0.46833951155927345</v>
      </c>
      <c r="AH893" s="304">
        <f t="shared" ca="1" si="405"/>
        <v>-9.3247070045254166</v>
      </c>
    </row>
    <row r="894" spans="1:34" x14ac:dyDescent="0.2">
      <c r="A894" s="347">
        <f t="shared" ca="1" si="383"/>
        <v>1E-4</v>
      </c>
      <c r="B894" s="304">
        <f t="shared" ca="1" si="384"/>
        <v>36.837400000001452</v>
      </c>
      <c r="D894" s="306">
        <f t="shared" ca="1" si="385"/>
        <v>-0.54796680512526308</v>
      </c>
      <c r="E894" s="307">
        <f t="shared" ca="1" si="386"/>
        <v>-0.50138943997721341</v>
      </c>
      <c r="F894" s="304">
        <f t="shared" ca="1" si="387"/>
        <v>0.74273749739719741</v>
      </c>
      <c r="G894" s="306">
        <f t="shared" ca="1" si="388"/>
        <v>6.1803314310099724</v>
      </c>
      <c r="H894" s="307">
        <f t="shared" ca="1" si="389"/>
        <v>-104.98963703727405</v>
      </c>
      <c r="I894" s="304">
        <f t="shared" ca="1" si="390"/>
        <v>105.17138575589692</v>
      </c>
      <c r="J894" s="306">
        <f t="shared" ca="1" si="391"/>
        <v>745.87074281998321</v>
      </c>
      <c r="K894" s="307">
        <f t="shared" ca="1" si="392"/>
        <v>-12.594354643759484</v>
      </c>
      <c r="L894" s="304">
        <f t="shared" ca="1" si="377"/>
        <v>745.97706584299647</v>
      </c>
      <c r="M894" s="306">
        <f t="shared" ca="1" si="393"/>
        <v>-1.5119980712967707</v>
      </c>
      <c r="N894" s="304">
        <f t="shared" ca="1" si="394"/>
        <v>-86.631108117225494</v>
      </c>
      <c r="P894" s="310">
        <f t="shared" ca="1" si="395"/>
        <v>23</v>
      </c>
      <c r="Q894" s="304">
        <f t="shared" ca="1" si="396"/>
        <v>0</v>
      </c>
      <c r="R894" s="306">
        <f t="shared" ca="1" si="397"/>
        <v>0</v>
      </c>
      <c r="S894" s="307">
        <f t="shared" ca="1" si="398"/>
        <v>2.9792999999999985</v>
      </c>
      <c r="T894" s="304">
        <f t="shared" ca="1" si="378"/>
        <v>29.226932999999988</v>
      </c>
      <c r="U894" s="311">
        <f t="shared" ca="1" si="379"/>
        <v>0</v>
      </c>
      <c r="V894" s="306">
        <f t="shared" ca="1" si="380"/>
        <v>1.2265437805898727</v>
      </c>
      <c r="W894" s="304">
        <f t="shared" ca="1" si="381"/>
        <v>27.781207397329496</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0.4683217327725977</v>
      </c>
      <c r="AH894" s="304">
        <f t="shared" ca="1" si="405"/>
        <v>-9.3247250993091981</v>
      </c>
    </row>
    <row r="895" spans="1:34" x14ac:dyDescent="0.2">
      <c r="A895" s="347">
        <f t="shared" ca="1" si="383"/>
        <v>1E-4</v>
      </c>
      <c r="B895" s="304">
        <f t="shared" ca="1" si="384"/>
        <v>36.837500000001455</v>
      </c>
      <c r="D895" s="306">
        <f t="shared" ca="1" si="385"/>
        <v>-0.54796276603774352</v>
      </c>
      <c r="E895" s="307">
        <f t="shared" ca="1" si="386"/>
        <v>-0.50137107638222744</v>
      </c>
      <c r="F895" s="304">
        <f t="shared" ca="1" si="387"/>
        <v>0.74272212111691416</v>
      </c>
      <c r="G895" s="306">
        <f t="shared" ca="1" si="388"/>
        <v>6.1802766347333682</v>
      </c>
      <c r="H895" s="307">
        <f t="shared" ca="1" si="389"/>
        <v>-104.98968717438169</v>
      </c>
      <c r="I895" s="304">
        <f t="shared" ca="1" si="390"/>
        <v>105.17143258630813</v>
      </c>
      <c r="J895" s="306">
        <f t="shared" ca="1" si="391"/>
        <v>745.87074281998321</v>
      </c>
      <c r="K895" s="307">
        <f t="shared" ca="1" si="392"/>
        <v>-12.604853609970068</v>
      </c>
      <c r="L895" s="304">
        <f t="shared" ca="1" si="377"/>
        <v>745.97724317123925</v>
      </c>
      <c r="M895" s="306">
        <f t="shared" ca="1" si="393"/>
        <v>-1.5119986194290609</v>
      </c>
      <c r="N895" s="304">
        <f t="shared" ca="1" si="394"/>
        <v>-86.63113952289234</v>
      </c>
      <c r="P895" s="310">
        <f t="shared" ca="1" si="395"/>
        <v>23</v>
      </c>
      <c r="Q895" s="304">
        <f t="shared" ca="1" si="396"/>
        <v>0</v>
      </c>
      <c r="R895" s="306">
        <f t="shared" ca="1" si="397"/>
        <v>0</v>
      </c>
      <c r="S895" s="307">
        <f t="shared" ca="1" si="398"/>
        <v>2.9792999999999985</v>
      </c>
      <c r="T895" s="304">
        <f t="shared" ca="1" si="378"/>
        <v>29.226932999999988</v>
      </c>
      <c r="U895" s="311">
        <f t="shared" ca="1" si="379"/>
        <v>0</v>
      </c>
      <c r="V895" s="306">
        <f t="shared" ca="1" si="380"/>
        <v>1.2265450683352304</v>
      </c>
      <c r="W895" s="304">
        <f t="shared" ca="1" si="381"/>
        <v>27.781261305455388</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0.46830395425905813</v>
      </c>
      <c r="AH895" s="304">
        <f t="shared" ca="1" si="405"/>
        <v>-9.3247431938138181</v>
      </c>
    </row>
    <row r="896" spans="1:34" x14ac:dyDescent="0.2">
      <c r="A896" s="347">
        <f t="shared" ca="1" si="383"/>
        <v>1E-4</v>
      </c>
      <c r="B896" s="304">
        <f t="shared" ca="1" si="384"/>
        <v>36.837600000001459</v>
      </c>
      <c r="D896" s="306">
        <f t="shared" ca="1" si="385"/>
        <v>-0.54795872696363634</v>
      </c>
      <c r="E896" s="307">
        <f t="shared" ca="1" si="386"/>
        <v>-0.5013527130704869</v>
      </c>
      <c r="F896" s="304">
        <f t="shared" ca="1" si="387"/>
        <v>0.74270674519540147</v>
      </c>
      <c r="G896" s="306">
        <f t="shared" ca="1" si="388"/>
        <v>6.180221838860672</v>
      </c>
      <c r="H896" s="307">
        <f t="shared" ca="1" si="389"/>
        <v>-104.98973730965299</v>
      </c>
      <c r="I896" s="304">
        <f t="shared" ca="1" si="390"/>
        <v>105.17147941494154</v>
      </c>
      <c r="J896" s="306">
        <f t="shared" ca="1" si="391"/>
        <v>745.87074281998321</v>
      </c>
      <c r="K896" s="307">
        <f t="shared" ca="1" si="392"/>
        <v>-12.615352581194269</v>
      </c>
      <c r="L896" s="304">
        <f t="shared" ca="1" si="377"/>
        <v>745.97742064728834</v>
      </c>
      <c r="M896" s="306">
        <f t="shared" ca="1" si="393"/>
        <v>-1.5119991675560032</v>
      </c>
      <c r="N896" s="304">
        <f t="shared" ca="1" si="394"/>
        <v>-86.631170928252772</v>
      </c>
      <c r="P896" s="310">
        <f t="shared" ca="1" si="395"/>
        <v>23</v>
      </c>
      <c r="Q896" s="304">
        <f t="shared" ca="1" si="396"/>
        <v>0</v>
      </c>
      <c r="R896" s="306">
        <f t="shared" ca="1" si="397"/>
        <v>0</v>
      </c>
      <c r="S896" s="307">
        <f t="shared" ca="1" si="398"/>
        <v>2.9792999999999985</v>
      </c>
      <c r="T896" s="304">
        <f t="shared" ca="1" si="378"/>
        <v>29.226932999999988</v>
      </c>
      <c r="U896" s="311">
        <f t="shared" ca="1" si="379"/>
        <v>0</v>
      </c>
      <c r="V896" s="306">
        <f t="shared" ca="1" si="380"/>
        <v>1.226546356082556</v>
      </c>
      <c r="W896" s="304">
        <f t="shared" ca="1" si="381"/>
        <v>27.781315212749604</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0.4682861760186583</v>
      </c>
      <c r="AH896" s="304">
        <f t="shared" ca="1" si="405"/>
        <v>-9.3247612880392712</v>
      </c>
    </row>
    <row r="897" spans="1:34" x14ac:dyDescent="0.2">
      <c r="A897" s="347">
        <f t="shared" ca="1" si="383"/>
        <v>1E-4</v>
      </c>
      <c r="B897" s="304">
        <f t="shared" ca="1" si="384"/>
        <v>36.837700000001462</v>
      </c>
      <c r="D897" s="306">
        <f t="shared" ca="1" si="385"/>
        <v>-0.547954687902941</v>
      </c>
      <c r="E897" s="307">
        <f t="shared" ca="1" si="386"/>
        <v>-0.5013343500419758</v>
      </c>
      <c r="F897" s="304">
        <f t="shared" ca="1" si="387"/>
        <v>0.74269136963264881</v>
      </c>
      <c r="G897" s="306">
        <f t="shared" ca="1" si="388"/>
        <v>6.1801670433918821</v>
      </c>
      <c r="H897" s="307">
        <f t="shared" ca="1" si="389"/>
        <v>-104.98978744308801</v>
      </c>
      <c r="I897" s="304">
        <f t="shared" ca="1" si="390"/>
        <v>105.17152624179715</v>
      </c>
      <c r="J897" s="306">
        <f t="shared" ca="1" si="391"/>
        <v>745.87074281998321</v>
      </c>
      <c r="K897" s="307">
        <f t="shared" ca="1" si="392"/>
        <v>-12.625851557431906</v>
      </c>
      <c r="L897" s="304">
        <f t="shared" ca="1" si="377"/>
        <v>745.97759827114373</v>
      </c>
      <c r="M897" s="306">
        <f t="shared" ca="1" si="393"/>
        <v>-1.5119997156775973</v>
      </c>
      <c r="N897" s="304">
        <f t="shared" ca="1" si="394"/>
        <v>-86.631202333306774</v>
      </c>
      <c r="P897" s="310">
        <f t="shared" ca="1" si="395"/>
        <v>23</v>
      </c>
      <c r="Q897" s="304">
        <f t="shared" ca="1" si="396"/>
        <v>0</v>
      </c>
      <c r="R897" s="306">
        <f t="shared" ca="1" si="397"/>
        <v>0</v>
      </c>
      <c r="S897" s="307">
        <f t="shared" ca="1" si="398"/>
        <v>2.9792999999999985</v>
      </c>
      <c r="T897" s="304">
        <f t="shared" ca="1" si="378"/>
        <v>29.226932999999988</v>
      </c>
      <c r="U897" s="311">
        <f t="shared" ca="1" si="379"/>
        <v>0</v>
      </c>
      <c r="V897" s="306">
        <f t="shared" ca="1" si="380"/>
        <v>1.2265476438318499</v>
      </c>
      <c r="W897" s="304">
        <f t="shared" ca="1" si="381"/>
        <v>27.78136911921214</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0.46826839805138576</v>
      </c>
      <c r="AH897" s="304">
        <f t="shared" ca="1" si="405"/>
        <v>-9.3247793819855733</v>
      </c>
    </row>
    <row r="898" spans="1:34" x14ac:dyDescent="0.2">
      <c r="A898" s="347">
        <f t="shared" ca="1" si="383"/>
        <v>1E-4</v>
      </c>
      <c r="B898" s="304">
        <f t="shared" ca="1" si="384"/>
        <v>36.837800000001465</v>
      </c>
      <c r="D898" s="306">
        <f t="shared" ca="1" si="385"/>
        <v>-0.54795064885566047</v>
      </c>
      <c r="E898" s="307">
        <f t="shared" ca="1" si="386"/>
        <v>-0.50131598729669946</v>
      </c>
      <c r="F898" s="304">
        <f t="shared" ca="1" si="387"/>
        <v>0.74267599442866328</v>
      </c>
      <c r="G898" s="306">
        <f t="shared" ca="1" si="388"/>
        <v>6.1801122483269966</v>
      </c>
      <c r="H898" s="307">
        <f t="shared" ca="1" si="389"/>
        <v>-104.98983757468673</v>
      </c>
      <c r="I898" s="304">
        <f t="shared" ca="1" si="390"/>
        <v>105.17157306687498</v>
      </c>
      <c r="J898" s="306">
        <f t="shared" ca="1" si="391"/>
        <v>745.87074281998321</v>
      </c>
      <c r="K898" s="307">
        <f t="shared" ca="1" si="392"/>
        <v>-12.636350538682795</v>
      </c>
      <c r="L898" s="304">
        <f t="shared" ca="1" si="377"/>
        <v>745.97777604280543</v>
      </c>
      <c r="M898" s="306">
        <f t="shared" ca="1" si="393"/>
        <v>-1.5120002637938439</v>
      </c>
      <c r="N898" s="304">
        <f t="shared" ca="1" si="394"/>
        <v>-86.631233738054391</v>
      </c>
      <c r="P898" s="310">
        <f t="shared" ca="1" si="395"/>
        <v>23</v>
      </c>
      <c r="Q898" s="304">
        <f t="shared" ca="1" si="396"/>
        <v>0</v>
      </c>
      <c r="R898" s="306">
        <f t="shared" ca="1" si="397"/>
        <v>0</v>
      </c>
      <c r="S898" s="307">
        <f t="shared" ca="1" si="398"/>
        <v>2.9792999999999985</v>
      </c>
      <c r="T898" s="304">
        <f t="shared" ca="1" si="378"/>
        <v>29.226932999999988</v>
      </c>
      <c r="U898" s="311">
        <f t="shared" ca="1" si="379"/>
        <v>0</v>
      </c>
      <c r="V898" s="306">
        <f t="shared" ca="1" si="380"/>
        <v>1.2265489315831111</v>
      </c>
      <c r="W898" s="304">
        <f t="shared" ca="1" si="381"/>
        <v>27.78142302484299</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0.46825062035723874</v>
      </c>
      <c r="AH898" s="304">
        <f t="shared" ca="1" si="405"/>
        <v>-9.3247974756527228</v>
      </c>
    </row>
    <row r="899" spans="1:34" x14ac:dyDescent="0.2">
      <c r="A899" s="347">
        <f t="shared" ca="1" si="383"/>
        <v>1E-4</v>
      </c>
      <c r="B899" s="304">
        <f t="shared" ca="1" si="384"/>
        <v>36.837900000001468</v>
      </c>
      <c r="D899" s="306">
        <f t="shared" ca="1" si="385"/>
        <v>-0.547946609821789</v>
      </c>
      <c r="E899" s="307">
        <f t="shared" ca="1" si="386"/>
        <v>-0.50129762483465612</v>
      </c>
      <c r="F899" s="304">
        <f t="shared" ca="1" si="387"/>
        <v>0.74266061958344043</v>
      </c>
      <c r="G899" s="306">
        <f t="shared" ca="1" si="388"/>
        <v>6.1800574536660147</v>
      </c>
      <c r="H899" s="307">
        <f t="shared" ca="1" si="389"/>
        <v>-104.98988770444922</v>
      </c>
      <c r="I899" s="304">
        <f t="shared" ca="1" si="390"/>
        <v>105.17161989017508</v>
      </c>
      <c r="J899" s="306">
        <f t="shared" ca="1" si="391"/>
        <v>745.87074281998321</v>
      </c>
      <c r="K899" s="307">
        <f t="shared" ca="1" si="392"/>
        <v>-12.646849524946751</v>
      </c>
      <c r="L899" s="304">
        <f t="shared" ca="1" si="377"/>
        <v>745.97795396227366</v>
      </c>
      <c r="M899" s="306">
        <f t="shared" ca="1" si="393"/>
        <v>-1.5120008119047423</v>
      </c>
      <c r="N899" s="304">
        <f t="shared" ca="1" si="394"/>
        <v>-86.631265142495579</v>
      </c>
      <c r="P899" s="310">
        <f t="shared" ca="1" si="395"/>
        <v>23</v>
      </c>
      <c r="Q899" s="304">
        <f t="shared" ca="1" si="396"/>
        <v>0</v>
      </c>
      <c r="R899" s="306">
        <f t="shared" ca="1" si="397"/>
        <v>0</v>
      </c>
      <c r="S899" s="307">
        <f t="shared" ca="1" si="398"/>
        <v>2.9792999999999985</v>
      </c>
      <c r="T899" s="304">
        <f t="shared" ca="1" si="378"/>
        <v>29.226932999999988</v>
      </c>
      <c r="U899" s="311">
        <f t="shared" ca="1" si="379"/>
        <v>0</v>
      </c>
      <c r="V899" s="306">
        <f t="shared" ca="1" si="380"/>
        <v>1.2265502193363398</v>
      </c>
      <c r="W899" s="304">
        <f t="shared" ca="1" si="381"/>
        <v>27.781476929642167</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0.46823284293622613</v>
      </c>
      <c r="AH899" s="304">
        <f t="shared" ca="1" si="405"/>
        <v>-9.324815569040716</v>
      </c>
    </row>
    <row r="900" spans="1:34" x14ac:dyDescent="0.2">
      <c r="A900" s="347">
        <f t="shared" ca="1" si="383"/>
        <v>1E-4</v>
      </c>
      <c r="B900" s="304">
        <f t="shared" ca="1" si="384"/>
        <v>36.838000000001472</v>
      </c>
      <c r="D900" s="306">
        <f t="shared" ca="1" si="385"/>
        <v>-0.54794257080133379</v>
      </c>
      <c r="E900" s="307">
        <f t="shared" ca="1" si="386"/>
        <v>-0.50127926265584222</v>
      </c>
      <c r="F900" s="304">
        <f t="shared" ca="1" si="387"/>
        <v>0.74264524509698404</v>
      </c>
      <c r="G900" s="306">
        <f t="shared" ca="1" si="388"/>
        <v>6.1800026594089346</v>
      </c>
      <c r="H900" s="307">
        <f t="shared" ca="1" si="389"/>
        <v>-104.98993783237549</v>
      </c>
      <c r="I900" s="304">
        <f t="shared" ca="1" si="390"/>
        <v>105.17166671169745</v>
      </c>
      <c r="J900" s="306">
        <f t="shared" ca="1" si="391"/>
        <v>745.87074281998321</v>
      </c>
      <c r="K900" s="307">
        <f t="shared" ca="1" si="392"/>
        <v>-12.657348516223593</v>
      </c>
      <c r="L900" s="304">
        <f t="shared" ref="L900:L963" ca="1" si="406">SQRT(pos_x^2+pos_z^2)</f>
        <v>745.97813202954865</v>
      </c>
      <c r="M900" s="306">
        <f t="shared" ca="1" si="393"/>
        <v>-1.5120013600102933</v>
      </c>
      <c r="N900" s="304">
        <f t="shared" ca="1" si="394"/>
        <v>-86.631296546630367</v>
      </c>
      <c r="P900" s="310">
        <f t="shared" ca="1" si="395"/>
        <v>23</v>
      </c>
      <c r="Q900" s="304">
        <f t="shared" ca="1" si="396"/>
        <v>0</v>
      </c>
      <c r="R900" s="306">
        <f t="shared" ca="1" si="397"/>
        <v>0</v>
      </c>
      <c r="S900" s="307">
        <f t="shared" ca="1" si="398"/>
        <v>2.9792999999999985</v>
      </c>
      <c r="T900" s="304">
        <f t="shared" ref="T900:T963" ca="1" si="407">m*g</f>
        <v>29.226932999999988</v>
      </c>
      <c r="U900" s="311">
        <f t="shared" ref="U900:U963" ca="1" si="408">IF(pos_xz&lt;L_rampe,Poids*COS(Beta),0)</f>
        <v>0</v>
      </c>
      <c r="V900" s="306">
        <f t="shared" ref="V900:V963" ca="1" si="409">Rho_moyen*(20000-Alt_rampe-pos_z)/(20000+Alt_rampe+pos_z)</f>
        <v>1.2265515070915365</v>
      </c>
      <c r="W900" s="304">
        <f t="shared" ref="W900:W963" ca="1" si="410">1/2*Rho*Sref*Cx*vit_xz^2</f>
        <v>27.781530833609686</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0.46821506578833727</v>
      </c>
      <c r="AH900" s="304">
        <f t="shared" ca="1" si="405"/>
        <v>-9.3248336621495582</v>
      </c>
    </row>
    <row r="901" spans="1:34" x14ac:dyDescent="0.2">
      <c r="A901" s="347">
        <f t="shared" ref="A901:A964" ca="1" si="412">IF(B900+0.01&lt;=T_ini+ROUNDUP(Temps_fin_propu,0), 0.01, IF(K900&gt;0, 0.1, 0.0001))</f>
        <v>1E-4</v>
      </c>
      <c r="B901" s="304">
        <f t="shared" ref="B901:B964" ca="1" si="413">B900+pas</f>
        <v>36.838100000001475</v>
      </c>
      <c r="D901" s="306">
        <f t="shared" ref="D901:D964" ca="1" si="414">IF(AND(L900&lt;L_rampe,Poussee&lt;Poids*SIN(M900)),0,(-W900+Poussee)/m*COS(M900)-U900/m*SIN(M900))</f>
        <v>-0.54793853179428986</v>
      </c>
      <c r="E901" s="307">
        <f t="shared" ref="E901:E964" ca="1" si="415">IF(AND(L900&lt;L_rampe,Poussee&lt;Poids*SIN(M900)),0,(-W900+Poussee)/m*SIN(M900)+U900/m*COS(M900)-Poids/m)</f>
        <v>-0.50126090076025243</v>
      </c>
      <c r="F901" s="304">
        <f t="shared" ref="F901:F964" ca="1" si="416">SQRT(acc_x^2+acc_z^2)</f>
        <v>0.74262987096928823</v>
      </c>
      <c r="G901" s="306">
        <f t="shared" ref="G901:G964" ca="1" si="417">G900+acc_x*pas</f>
        <v>6.1799478655557554</v>
      </c>
      <c r="H901" s="307">
        <f t="shared" ref="H901:H964" ca="1" si="418">H900+acc_z*pas</f>
        <v>-104.98998795846556</v>
      </c>
      <c r="I901" s="304">
        <f t="shared" ref="I901:I964" ca="1" si="419">SQRT(vit_x^2+vit_z^2)</f>
        <v>105.17171353144215</v>
      </c>
      <c r="J901" s="306">
        <f t="shared" ref="J901:J964" ca="1" si="420">J900+0.5*(vit_x+G900)*pas*(K900&gt;=0)</f>
        <v>745.87074281998321</v>
      </c>
      <c r="K901" s="307">
        <f t="shared" ref="K901:K964" ca="1" si="421">K900+0.5*(vit_z+H900)*pas</f>
        <v>-12.667847512513134</v>
      </c>
      <c r="L901" s="304">
        <f t="shared" ca="1" si="406"/>
        <v>745.97831024463017</v>
      </c>
      <c r="M901" s="306">
        <f t="shared" ref="M901:M964" ca="1" si="422">IF(AND(L900&gt;L_rampe,G901&gt;0),ATAN2(G901,H901),$M$4)</f>
        <v>-1.5120019081104965</v>
      </c>
      <c r="N901" s="304">
        <f t="shared" ref="N901:N964" ca="1" si="423">DEGREES(Beta)</f>
        <v>-86.631327950458768</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2.9792999999999985</v>
      </c>
      <c r="T901" s="304">
        <f t="shared" ca="1" si="407"/>
        <v>29.226932999999988</v>
      </c>
      <c r="U901" s="311">
        <f t="shared" ca="1" si="408"/>
        <v>0</v>
      </c>
      <c r="V901" s="306">
        <f t="shared" ca="1" si="409"/>
        <v>1.2265527948487009</v>
      </c>
      <c r="W901" s="304">
        <f t="shared" ca="1" si="410"/>
        <v>27.781584736745575</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0.4681972889135686</v>
      </c>
      <c r="AH901" s="304">
        <f t="shared" ref="AH901:AH964" ca="1" si="434">IF(AND(L900&lt;L_rampe,Poussee&lt;Poids*SIN(M900)), g*SIN(M900), (-W900+Poussee)/m)</f>
        <v>-9.3248517549792567</v>
      </c>
    </row>
    <row r="902" spans="1:34" x14ac:dyDescent="0.2">
      <c r="A902" s="347">
        <f t="shared" ca="1" si="412"/>
        <v>1E-4</v>
      </c>
      <c r="B902" s="304">
        <f t="shared" ca="1" si="413"/>
        <v>36.838200000001478</v>
      </c>
      <c r="D902" s="306">
        <f t="shared" ca="1" si="414"/>
        <v>-0.54793449280066053</v>
      </c>
      <c r="E902" s="307">
        <f t="shared" ca="1" si="415"/>
        <v>-0.50124253914787786</v>
      </c>
      <c r="F902" s="304">
        <f t="shared" ca="1" si="416"/>
        <v>0.74261449720035022</v>
      </c>
      <c r="G902" s="306">
        <f t="shared" ca="1" si="417"/>
        <v>6.1798930721064753</v>
      </c>
      <c r="H902" s="307">
        <f t="shared" ca="1" si="418"/>
        <v>-104.99003808271948</v>
      </c>
      <c r="I902" s="304">
        <f t="shared" ca="1" si="419"/>
        <v>105.17176034940918</v>
      </c>
      <c r="J902" s="306">
        <f t="shared" ca="1" si="420"/>
        <v>745.87074281998321</v>
      </c>
      <c r="K902" s="307">
        <f t="shared" ca="1" si="421"/>
        <v>-12.678346513815194</v>
      </c>
      <c r="L902" s="304">
        <f t="shared" ca="1" si="406"/>
        <v>745.97848860751867</v>
      </c>
      <c r="M902" s="306">
        <f t="shared" ca="1" si="422"/>
        <v>-1.512002456205352</v>
      </c>
      <c r="N902" s="304">
        <f t="shared" ca="1" si="423"/>
        <v>-86.631359353980756</v>
      </c>
      <c r="P902" s="310">
        <f t="shared" ca="1" si="424"/>
        <v>23</v>
      </c>
      <c r="Q902" s="304">
        <f t="shared" ca="1" si="425"/>
        <v>0</v>
      </c>
      <c r="R902" s="306">
        <f t="shared" ca="1" si="426"/>
        <v>0</v>
      </c>
      <c r="S902" s="307">
        <f t="shared" ca="1" si="427"/>
        <v>2.9792999999999985</v>
      </c>
      <c r="T902" s="304">
        <f t="shared" ca="1" si="407"/>
        <v>29.226932999999988</v>
      </c>
      <c r="U902" s="311">
        <f t="shared" ca="1" si="408"/>
        <v>0</v>
      </c>
      <c r="V902" s="306">
        <f t="shared" ca="1" si="409"/>
        <v>1.2265540826078329</v>
      </c>
      <c r="W902" s="304">
        <f t="shared" ca="1" si="410"/>
        <v>27.781638639049817</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0.46817951231190946</v>
      </c>
      <c r="AH902" s="304">
        <f t="shared" ca="1" si="434"/>
        <v>-9.3248698475298184</v>
      </c>
    </row>
    <row r="903" spans="1:34" x14ac:dyDescent="0.2">
      <c r="A903" s="347">
        <f t="shared" ca="1" si="412"/>
        <v>1E-4</v>
      </c>
      <c r="B903" s="304">
        <f t="shared" ca="1" si="413"/>
        <v>36.838300000001482</v>
      </c>
      <c r="D903" s="306">
        <f t="shared" ca="1" si="414"/>
        <v>-0.54793045382044603</v>
      </c>
      <c r="E903" s="307">
        <f t="shared" ca="1" si="415"/>
        <v>-0.50122417781872386</v>
      </c>
      <c r="F903" s="304">
        <f t="shared" ca="1" si="416"/>
        <v>0.74259912379017501</v>
      </c>
      <c r="G903" s="306">
        <f t="shared" ca="1" si="417"/>
        <v>6.1798382790610935</v>
      </c>
      <c r="H903" s="307">
        <f t="shared" ca="1" si="418"/>
        <v>-104.99008820513725</v>
      </c>
      <c r="I903" s="304">
        <f t="shared" ca="1" si="419"/>
        <v>105.17180716559857</v>
      </c>
      <c r="J903" s="306">
        <f t="shared" ca="1" si="420"/>
        <v>745.87074281998321</v>
      </c>
      <c r="K903" s="307">
        <f t="shared" ca="1" si="421"/>
        <v>-12.688845520129588</v>
      </c>
      <c r="L903" s="304">
        <f t="shared" ca="1" si="406"/>
        <v>745.97866711821405</v>
      </c>
      <c r="M903" s="306">
        <f t="shared" ca="1" si="422"/>
        <v>-1.51200300429486</v>
      </c>
      <c r="N903" s="304">
        <f t="shared" ca="1" si="423"/>
        <v>-86.631390757196357</v>
      </c>
      <c r="P903" s="310">
        <f t="shared" ca="1" si="424"/>
        <v>23</v>
      </c>
      <c r="Q903" s="304">
        <f t="shared" ca="1" si="425"/>
        <v>0</v>
      </c>
      <c r="R903" s="306">
        <f t="shared" ca="1" si="426"/>
        <v>0</v>
      </c>
      <c r="S903" s="307">
        <f t="shared" ca="1" si="427"/>
        <v>2.9792999999999985</v>
      </c>
      <c r="T903" s="304">
        <f t="shared" ca="1" si="407"/>
        <v>29.226932999999988</v>
      </c>
      <c r="U903" s="311">
        <f t="shared" ca="1" si="408"/>
        <v>0</v>
      </c>
      <c r="V903" s="306">
        <f t="shared" ca="1" si="409"/>
        <v>1.2265553703689329</v>
      </c>
      <c r="W903" s="304">
        <f t="shared" ca="1" si="410"/>
        <v>27.781692540522425</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0.4681617359833723</v>
      </c>
      <c r="AH903" s="304">
        <f t="shared" ca="1" si="434"/>
        <v>-9.3248879398012381</v>
      </c>
    </row>
    <row r="904" spans="1:34" x14ac:dyDescent="0.2">
      <c r="A904" s="347">
        <f t="shared" ca="1" si="412"/>
        <v>1E-4</v>
      </c>
      <c r="B904" s="304">
        <f t="shared" ca="1" si="413"/>
        <v>36.838400000001485</v>
      </c>
      <c r="D904" s="306">
        <f t="shared" ca="1" si="414"/>
        <v>-0.54792641485364557</v>
      </c>
      <c r="E904" s="307">
        <f t="shared" ca="1" si="415"/>
        <v>-0.50120581677278508</v>
      </c>
      <c r="F904" s="304">
        <f t="shared" ca="1" si="416"/>
        <v>0.74258375073875937</v>
      </c>
      <c r="G904" s="306">
        <f t="shared" ca="1" si="417"/>
        <v>6.1797834864196082</v>
      </c>
      <c r="H904" s="307">
        <f t="shared" ca="1" si="418"/>
        <v>-104.99013832571893</v>
      </c>
      <c r="I904" s="304">
        <f t="shared" ca="1" si="419"/>
        <v>105.17185398001035</v>
      </c>
      <c r="J904" s="306">
        <f t="shared" ca="1" si="420"/>
        <v>745.87074281998321</v>
      </c>
      <c r="K904" s="307">
        <f t="shared" ca="1" si="421"/>
        <v>-12.699344531456131</v>
      </c>
      <c r="L904" s="304">
        <f t="shared" ca="1" si="406"/>
        <v>745.97884577671653</v>
      </c>
      <c r="M904" s="306">
        <f t="shared" ca="1" si="422"/>
        <v>-1.5120035523790207</v>
      </c>
      <c r="N904" s="304">
        <f t="shared" ca="1" si="423"/>
        <v>-86.631422160105586</v>
      </c>
      <c r="P904" s="310">
        <f t="shared" ca="1" si="424"/>
        <v>23</v>
      </c>
      <c r="Q904" s="304">
        <f t="shared" ca="1" si="425"/>
        <v>0</v>
      </c>
      <c r="R904" s="306">
        <f t="shared" ca="1" si="426"/>
        <v>0</v>
      </c>
      <c r="S904" s="307">
        <f t="shared" ca="1" si="427"/>
        <v>2.9792999999999985</v>
      </c>
      <c r="T904" s="304">
        <f t="shared" ca="1" si="407"/>
        <v>29.226932999999988</v>
      </c>
      <c r="U904" s="311">
        <f t="shared" ca="1" si="408"/>
        <v>0</v>
      </c>
      <c r="V904" s="306">
        <f t="shared" ca="1" si="409"/>
        <v>1.226556658132</v>
      </c>
      <c r="W904" s="304">
        <f t="shared" ca="1" si="410"/>
        <v>27.781746441163417</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0.46814395992794466</v>
      </c>
      <c r="AH904" s="304">
        <f t="shared" ca="1" si="434"/>
        <v>-9.3249060317935211</v>
      </c>
    </row>
    <row r="905" spans="1:34" x14ac:dyDescent="0.2">
      <c r="A905" s="347">
        <f t="shared" ca="1" si="412"/>
        <v>1E-4</v>
      </c>
      <c r="B905" s="304">
        <f t="shared" ca="1" si="413"/>
        <v>36.838500000001488</v>
      </c>
      <c r="D905" s="306">
        <f t="shared" ca="1" si="414"/>
        <v>-0.54792237590025816</v>
      </c>
      <c r="E905" s="307">
        <f t="shared" ca="1" si="415"/>
        <v>-0.50118745601005799</v>
      </c>
      <c r="F905" s="304">
        <f t="shared" ca="1" si="416"/>
        <v>0.74256837804610132</v>
      </c>
      <c r="G905" s="306">
        <f t="shared" ca="1" si="417"/>
        <v>6.1797286941820184</v>
      </c>
      <c r="H905" s="307">
        <f t="shared" ca="1" si="418"/>
        <v>-104.99018844446454</v>
      </c>
      <c r="I905" s="304">
        <f t="shared" ca="1" si="419"/>
        <v>105.17190079264456</v>
      </c>
      <c r="J905" s="306">
        <f t="shared" ca="1" si="420"/>
        <v>745.87074281998321</v>
      </c>
      <c r="K905" s="307">
        <f t="shared" ca="1" si="421"/>
        <v>-12.709843547794639</v>
      </c>
      <c r="L905" s="304">
        <f t="shared" ca="1" si="406"/>
        <v>745.9790245830261</v>
      </c>
      <c r="M905" s="306">
        <f t="shared" ca="1" si="422"/>
        <v>-1.5120041004578337</v>
      </c>
      <c r="N905" s="304">
        <f t="shared" ca="1" si="423"/>
        <v>-86.631453562708415</v>
      </c>
      <c r="P905" s="310">
        <f t="shared" ca="1" si="424"/>
        <v>23</v>
      </c>
      <c r="Q905" s="304">
        <f t="shared" ca="1" si="425"/>
        <v>0</v>
      </c>
      <c r="R905" s="306">
        <f t="shared" ca="1" si="426"/>
        <v>0</v>
      </c>
      <c r="S905" s="307">
        <f t="shared" ca="1" si="427"/>
        <v>2.9792999999999985</v>
      </c>
      <c r="T905" s="304">
        <f t="shared" ca="1" si="407"/>
        <v>29.226932999999988</v>
      </c>
      <c r="U905" s="311">
        <f t="shared" ca="1" si="408"/>
        <v>0</v>
      </c>
      <c r="V905" s="306">
        <f t="shared" ca="1" si="409"/>
        <v>1.226557945897035</v>
      </c>
      <c r="W905" s="304">
        <f t="shared" ca="1" si="410"/>
        <v>27.781800340972811</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0.46812618414562479</v>
      </c>
      <c r="AH905" s="304">
        <f t="shared" ca="1" si="434"/>
        <v>-9.3249241235066727</v>
      </c>
    </row>
    <row r="906" spans="1:34" x14ac:dyDescent="0.2">
      <c r="A906" s="347">
        <f t="shared" ca="1" si="412"/>
        <v>1E-4</v>
      </c>
      <c r="B906" s="304">
        <f t="shared" ca="1" si="413"/>
        <v>36.838600000001492</v>
      </c>
      <c r="D906" s="306">
        <f t="shared" ca="1" si="414"/>
        <v>-0.5479183369602888</v>
      </c>
      <c r="E906" s="307">
        <f t="shared" ca="1" si="415"/>
        <v>-0.50116909553053368</v>
      </c>
      <c r="F906" s="304">
        <f t="shared" ca="1" si="416"/>
        <v>0.74255300571219951</v>
      </c>
      <c r="G906" s="306">
        <f t="shared" ca="1" si="417"/>
        <v>6.1796739023483225</v>
      </c>
      <c r="H906" s="307">
        <f t="shared" ca="1" si="418"/>
        <v>-104.99023856137408</v>
      </c>
      <c r="I906" s="304">
        <f t="shared" ca="1" si="419"/>
        <v>105.17194760350122</v>
      </c>
      <c r="J906" s="306">
        <f t="shared" ca="1" si="420"/>
        <v>745.87074281998321</v>
      </c>
      <c r="K906" s="307">
        <f t="shared" ca="1" si="421"/>
        <v>-12.720342569144931</v>
      </c>
      <c r="L906" s="304">
        <f t="shared" ca="1" si="406"/>
        <v>745.97920353714278</v>
      </c>
      <c r="M906" s="306">
        <f t="shared" ca="1" si="422"/>
        <v>-1.5120046485312995</v>
      </c>
      <c r="N906" s="304">
        <f t="shared" ca="1" si="423"/>
        <v>-86.631484965004859</v>
      </c>
      <c r="P906" s="310">
        <f t="shared" ca="1" si="424"/>
        <v>23</v>
      </c>
      <c r="Q906" s="304">
        <f t="shared" ca="1" si="425"/>
        <v>0</v>
      </c>
      <c r="R906" s="306">
        <f t="shared" ca="1" si="426"/>
        <v>0</v>
      </c>
      <c r="S906" s="307">
        <f t="shared" ca="1" si="427"/>
        <v>2.9792999999999985</v>
      </c>
      <c r="T906" s="304">
        <f t="shared" ca="1" si="407"/>
        <v>29.226932999999988</v>
      </c>
      <c r="U906" s="311">
        <f t="shared" ca="1" si="408"/>
        <v>0</v>
      </c>
      <c r="V906" s="306">
        <f t="shared" ca="1" si="409"/>
        <v>1.2265592336640379</v>
      </c>
      <c r="W906" s="304">
        <f t="shared" ca="1" si="410"/>
        <v>27.781854239950604</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0.46810840863640379</v>
      </c>
      <c r="AH906" s="304">
        <f t="shared" ca="1" si="434"/>
        <v>-9.3249422149407</v>
      </c>
    </row>
    <row r="907" spans="1:34" x14ac:dyDescent="0.2">
      <c r="A907" s="347">
        <f t="shared" ca="1" si="412"/>
        <v>1E-4</v>
      </c>
      <c r="B907" s="304">
        <f t="shared" ca="1" si="413"/>
        <v>36.838700000001495</v>
      </c>
      <c r="D907" s="306">
        <f t="shared" ca="1" si="414"/>
        <v>-0.54791429803373426</v>
      </c>
      <c r="E907" s="307">
        <f t="shared" ca="1" si="415"/>
        <v>-0.50115073533421572</v>
      </c>
      <c r="F907" s="304">
        <f t="shared" ca="1" si="416"/>
        <v>0.74253763373705506</v>
      </c>
      <c r="G907" s="306">
        <f t="shared" ca="1" si="417"/>
        <v>6.1796191109185195</v>
      </c>
      <c r="H907" s="307">
        <f t="shared" ca="1" si="418"/>
        <v>-104.99028867644762</v>
      </c>
      <c r="I907" s="304">
        <f t="shared" ca="1" si="419"/>
        <v>105.17199441258036</v>
      </c>
      <c r="J907" s="306">
        <f t="shared" ca="1" si="420"/>
        <v>745.87074281998321</v>
      </c>
      <c r="K907" s="307">
        <f t="shared" ca="1" si="421"/>
        <v>-12.730841595506822</v>
      </c>
      <c r="L907" s="304">
        <f t="shared" ca="1" si="406"/>
        <v>745.9793826390669</v>
      </c>
      <c r="M907" s="306">
        <f t="shared" ca="1" si="422"/>
        <v>-1.5120051965994179</v>
      </c>
      <c r="N907" s="304">
        <f t="shared" ca="1" si="423"/>
        <v>-86.631516366994944</v>
      </c>
      <c r="P907" s="310">
        <f t="shared" ca="1" si="424"/>
        <v>23</v>
      </c>
      <c r="Q907" s="304">
        <f t="shared" ca="1" si="425"/>
        <v>0</v>
      </c>
      <c r="R907" s="306">
        <f t="shared" ca="1" si="426"/>
        <v>0</v>
      </c>
      <c r="S907" s="307">
        <f t="shared" ca="1" si="427"/>
        <v>2.9792999999999985</v>
      </c>
      <c r="T907" s="304">
        <f t="shared" ca="1" si="407"/>
        <v>29.226932999999988</v>
      </c>
      <c r="U907" s="311">
        <f t="shared" ca="1" si="408"/>
        <v>0</v>
      </c>
      <c r="V907" s="306">
        <f t="shared" ca="1" si="409"/>
        <v>1.2265605214330084</v>
      </c>
      <c r="W907" s="304">
        <f t="shared" ca="1" si="410"/>
        <v>27.781908138096821</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0.468090633400287</v>
      </c>
      <c r="AH907" s="304">
        <f t="shared" ca="1" si="434"/>
        <v>-9.3249603060955994</v>
      </c>
    </row>
    <row r="908" spans="1:34" x14ac:dyDescent="0.2">
      <c r="A908" s="347">
        <f t="shared" ca="1" si="412"/>
        <v>1E-4</v>
      </c>
      <c r="B908" s="304">
        <f t="shared" ca="1" si="413"/>
        <v>36.838800000001498</v>
      </c>
      <c r="D908" s="306">
        <f t="shared" ca="1" si="414"/>
        <v>-0.54791025912059566</v>
      </c>
      <c r="E908" s="307">
        <f t="shared" ca="1" si="415"/>
        <v>-0.50113237542109523</v>
      </c>
      <c r="F908" s="304">
        <f t="shared" ca="1" si="416"/>
        <v>0.74252226212066386</v>
      </c>
      <c r="G908" s="306">
        <f t="shared" ca="1" si="417"/>
        <v>6.1795643198926076</v>
      </c>
      <c r="H908" s="307">
        <f t="shared" ca="1" si="418"/>
        <v>-104.99033878968517</v>
      </c>
      <c r="I908" s="304">
        <f t="shared" ca="1" si="419"/>
        <v>105.172041219882</v>
      </c>
      <c r="J908" s="306">
        <f t="shared" ca="1" si="420"/>
        <v>745.87074281998321</v>
      </c>
      <c r="K908" s="307">
        <f t="shared" ca="1" si="421"/>
        <v>-12.741340626880129</v>
      </c>
      <c r="L908" s="304">
        <f t="shared" ca="1" si="406"/>
        <v>745.97956188879846</v>
      </c>
      <c r="M908" s="306">
        <f t="shared" ca="1" si="422"/>
        <v>-1.5120057446621893</v>
      </c>
      <c r="N908" s="304">
        <f t="shared" ca="1" si="423"/>
        <v>-86.631547768678644</v>
      </c>
      <c r="P908" s="310">
        <f t="shared" ca="1" si="424"/>
        <v>23</v>
      </c>
      <c r="Q908" s="304">
        <f t="shared" ca="1" si="425"/>
        <v>0</v>
      </c>
      <c r="R908" s="306">
        <f t="shared" ca="1" si="426"/>
        <v>0</v>
      </c>
      <c r="S908" s="307">
        <f t="shared" ca="1" si="427"/>
        <v>2.9792999999999985</v>
      </c>
      <c r="T908" s="304">
        <f t="shared" ca="1" si="407"/>
        <v>29.226932999999988</v>
      </c>
      <c r="U908" s="311">
        <f t="shared" ca="1" si="408"/>
        <v>0</v>
      </c>
      <c r="V908" s="306">
        <f t="shared" ca="1" si="409"/>
        <v>1.2265618092039459</v>
      </c>
      <c r="W908" s="304">
        <f t="shared" ca="1" si="410"/>
        <v>27.781962035411453</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0.46807285843726554</v>
      </c>
      <c r="AH908" s="304">
        <f t="shared" ca="1" si="434"/>
        <v>-9.32497839697138</v>
      </c>
    </row>
    <row r="909" spans="1:34" x14ac:dyDescent="0.2">
      <c r="A909" s="347">
        <f t="shared" ca="1" si="412"/>
        <v>1E-4</v>
      </c>
      <c r="B909" s="304">
        <f t="shared" ca="1" si="413"/>
        <v>36.838900000001502</v>
      </c>
      <c r="D909" s="306">
        <f t="shared" ca="1" si="414"/>
        <v>-0.54790622022087165</v>
      </c>
      <c r="E909" s="307">
        <f t="shared" ca="1" si="415"/>
        <v>-0.50111401579117043</v>
      </c>
      <c r="F909" s="304">
        <f t="shared" ca="1" si="416"/>
        <v>0.74250689086302479</v>
      </c>
      <c r="G909" s="306">
        <f t="shared" ca="1" si="417"/>
        <v>6.1795095292705851</v>
      </c>
      <c r="H909" s="307">
        <f t="shared" ca="1" si="418"/>
        <v>-104.99038890108675</v>
      </c>
      <c r="I909" s="304">
        <f t="shared" ca="1" si="419"/>
        <v>105.17208802540617</v>
      </c>
      <c r="J909" s="306">
        <f t="shared" ca="1" si="420"/>
        <v>745.87074281998321</v>
      </c>
      <c r="K909" s="307">
        <f t="shared" ca="1" si="421"/>
        <v>-12.751839663264668</v>
      </c>
      <c r="L909" s="304">
        <f t="shared" ca="1" si="406"/>
        <v>745.97974128633757</v>
      </c>
      <c r="M909" s="306">
        <f t="shared" ca="1" si="422"/>
        <v>-1.5120062927196132</v>
      </c>
      <c r="N909" s="304">
        <f t="shared" ca="1" si="423"/>
        <v>-86.631579170055971</v>
      </c>
      <c r="P909" s="310">
        <f t="shared" ca="1" si="424"/>
        <v>23</v>
      </c>
      <c r="Q909" s="304">
        <f t="shared" ca="1" si="425"/>
        <v>0</v>
      </c>
      <c r="R909" s="306">
        <f t="shared" ca="1" si="426"/>
        <v>0</v>
      </c>
      <c r="S909" s="307">
        <f t="shared" ca="1" si="427"/>
        <v>2.9792999999999985</v>
      </c>
      <c r="T909" s="304">
        <f t="shared" ca="1" si="407"/>
        <v>29.226932999999988</v>
      </c>
      <c r="U909" s="311">
        <f t="shared" ca="1" si="408"/>
        <v>0</v>
      </c>
      <c r="V909" s="306">
        <f t="shared" ca="1" si="409"/>
        <v>1.2265630969768515</v>
      </c>
      <c r="W909" s="304">
        <f t="shared" ca="1" si="410"/>
        <v>27.782015931894513</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0.4680550837473394</v>
      </c>
      <c r="AH909" s="304">
        <f t="shared" ca="1" si="434"/>
        <v>-9.3249964875680416</v>
      </c>
    </row>
    <row r="910" spans="1:34" x14ac:dyDescent="0.2">
      <c r="A910" s="347">
        <f t="shared" ca="1" si="412"/>
        <v>1E-4</v>
      </c>
      <c r="B910" s="304">
        <f t="shared" ca="1" si="413"/>
        <v>36.839000000001505</v>
      </c>
      <c r="D910" s="306">
        <f t="shared" ca="1" si="414"/>
        <v>-0.54790218133456736</v>
      </c>
      <c r="E910" s="307">
        <f t="shared" ca="1" si="415"/>
        <v>-0.50109565644444309</v>
      </c>
      <c r="F910" s="304">
        <f t="shared" ca="1" si="416"/>
        <v>0.74249151996414375</v>
      </c>
      <c r="G910" s="306">
        <f t="shared" ca="1" si="417"/>
        <v>6.1794547390524519</v>
      </c>
      <c r="H910" s="307">
        <f t="shared" ca="1" si="418"/>
        <v>-104.99043901065239</v>
      </c>
      <c r="I910" s="304">
        <f t="shared" ca="1" si="419"/>
        <v>105.17213482915291</v>
      </c>
      <c r="J910" s="306">
        <f t="shared" ca="1" si="420"/>
        <v>745.87074281998321</v>
      </c>
      <c r="K910" s="307">
        <f t="shared" ca="1" si="421"/>
        <v>-12.762338704660255</v>
      </c>
      <c r="L910" s="304">
        <f t="shared" ca="1" si="406"/>
        <v>745.97992083168424</v>
      </c>
      <c r="M910" s="306">
        <f t="shared" ca="1" si="422"/>
        <v>-1.5120068407716902</v>
      </c>
      <c r="N910" s="304">
        <f t="shared" ca="1" si="423"/>
        <v>-86.631610571126942</v>
      </c>
      <c r="P910" s="310">
        <f t="shared" ca="1" si="424"/>
        <v>23</v>
      </c>
      <c r="Q910" s="304">
        <f t="shared" ca="1" si="425"/>
        <v>0</v>
      </c>
      <c r="R910" s="306">
        <f t="shared" ca="1" si="426"/>
        <v>0</v>
      </c>
      <c r="S910" s="307">
        <f t="shared" ca="1" si="427"/>
        <v>2.9792999999999985</v>
      </c>
      <c r="T910" s="304">
        <f t="shared" ca="1" si="407"/>
        <v>29.226932999999988</v>
      </c>
      <c r="U910" s="311">
        <f t="shared" ca="1" si="408"/>
        <v>0</v>
      </c>
      <c r="V910" s="306">
        <f t="shared" ca="1" si="409"/>
        <v>1.226564384751724</v>
      </c>
      <c r="W910" s="304">
        <f t="shared" ca="1" si="410"/>
        <v>27.782069827546017</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0.46803730933050858</v>
      </c>
      <c r="AH910" s="304">
        <f t="shared" ca="1" si="434"/>
        <v>-9.325014577885586</v>
      </c>
    </row>
    <row r="911" spans="1:34" x14ac:dyDescent="0.2">
      <c r="A911" s="347">
        <f t="shared" ca="1" si="412"/>
        <v>1E-4</v>
      </c>
      <c r="B911" s="304">
        <f t="shared" ca="1" si="413"/>
        <v>36.839100000001508</v>
      </c>
      <c r="D911" s="306">
        <f t="shared" ca="1" si="414"/>
        <v>-0.54789814246167756</v>
      </c>
      <c r="E911" s="307">
        <f t="shared" ca="1" si="415"/>
        <v>-0.50107729738090434</v>
      </c>
      <c r="F911" s="304">
        <f t="shared" ca="1" si="416"/>
        <v>0.74247614942401208</v>
      </c>
      <c r="G911" s="306">
        <f t="shared" ca="1" si="417"/>
        <v>6.1793999492382055</v>
      </c>
      <c r="H911" s="307">
        <f t="shared" ca="1" si="418"/>
        <v>-104.99048911838213</v>
      </c>
      <c r="I911" s="304">
        <f t="shared" ca="1" si="419"/>
        <v>105.17218163112221</v>
      </c>
      <c r="J911" s="306">
        <f t="shared" ca="1" si="420"/>
        <v>745.87074281998321</v>
      </c>
      <c r="K911" s="307">
        <f t="shared" ca="1" si="421"/>
        <v>-12.772837751066707</v>
      </c>
      <c r="L911" s="304">
        <f t="shared" ca="1" si="406"/>
        <v>745.9801005248388</v>
      </c>
      <c r="M911" s="306">
        <f t="shared" ca="1" si="422"/>
        <v>-1.51200738881842</v>
      </c>
      <c r="N911" s="304">
        <f t="shared" ca="1" si="423"/>
        <v>-86.631641971891526</v>
      </c>
      <c r="P911" s="310">
        <f t="shared" ca="1" si="424"/>
        <v>23</v>
      </c>
      <c r="Q911" s="304">
        <f t="shared" ca="1" si="425"/>
        <v>0</v>
      </c>
      <c r="R911" s="306">
        <f t="shared" ca="1" si="426"/>
        <v>0</v>
      </c>
      <c r="S911" s="307">
        <f t="shared" ca="1" si="427"/>
        <v>2.9792999999999985</v>
      </c>
      <c r="T911" s="304">
        <f t="shared" ca="1" si="407"/>
        <v>29.226932999999988</v>
      </c>
      <c r="U911" s="311">
        <f t="shared" ca="1" si="408"/>
        <v>0</v>
      </c>
      <c r="V911" s="306">
        <f t="shared" ca="1" si="409"/>
        <v>1.226565672528565</v>
      </c>
      <c r="W911" s="304">
        <f t="shared" ca="1" si="410"/>
        <v>27.782123722365988</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0.46801953518676065</v>
      </c>
      <c r="AH911" s="304">
        <f t="shared" ca="1" si="434"/>
        <v>-9.3250326679240203</v>
      </c>
    </row>
    <row r="912" spans="1:34" x14ac:dyDescent="0.2">
      <c r="A912" s="347">
        <f t="shared" ca="1" si="412"/>
        <v>1E-4</v>
      </c>
      <c r="B912" s="304">
        <f t="shared" ca="1" si="413"/>
        <v>36.839200000001512</v>
      </c>
      <c r="D912" s="306">
        <f t="shared" ca="1" si="414"/>
        <v>-0.54789410360220758</v>
      </c>
      <c r="E912" s="307">
        <f t="shared" ca="1" si="415"/>
        <v>-0.50105893860054884</v>
      </c>
      <c r="F912" s="304">
        <f t="shared" ca="1" si="416"/>
        <v>0.74246077924263121</v>
      </c>
      <c r="G912" s="306">
        <f t="shared" ca="1" si="417"/>
        <v>6.1793451598278448</v>
      </c>
      <c r="H912" s="307">
        <f t="shared" ca="1" si="418"/>
        <v>-104.99053922427599</v>
      </c>
      <c r="I912" s="304">
        <f t="shared" ca="1" si="419"/>
        <v>105.17222843131414</v>
      </c>
      <c r="J912" s="306">
        <f t="shared" ca="1" si="420"/>
        <v>745.87074281998321</v>
      </c>
      <c r="K912" s="307">
        <f t="shared" ca="1" si="421"/>
        <v>-12.78333680248384</v>
      </c>
      <c r="L912" s="304">
        <f t="shared" ca="1" si="406"/>
        <v>745.98028036580115</v>
      </c>
      <c r="M912" s="306">
        <f t="shared" ca="1" si="422"/>
        <v>-1.5120079368598029</v>
      </c>
      <c r="N912" s="304">
        <f t="shared" ca="1" si="423"/>
        <v>-86.631673372349766</v>
      </c>
      <c r="P912" s="310">
        <f t="shared" ca="1" si="424"/>
        <v>23</v>
      </c>
      <c r="Q912" s="304">
        <f t="shared" ca="1" si="425"/>
        <v>0</v>
      </c>
      <c r="R912" s="306">
        <f t="shared" ca="1" si="426"/>
        <v>0</v>
      </c>
      <c r="S912" s="307">
        <f t="shared" ca="1" si="427"/>
        <v>2.9792999999999985</v>
      </c>
      <c r="T912" s="304">
        <f t="shared" ca="1" si="407"/>
        <v>29.226932999999988</v>
      </c>
      <c r="U912" s="311">
        <f t="shared" ca="1" si="408"/>
        <v>0</v>
      </c>
      <c r="V912" s="306">
        <f t="shared" ca="1" si="409"/>
        <v>1.2265669603073728</v>
      </c>
      <c r="W912" s="304">
        <f t="shared" ca="1" si="410"/>
        <v>27.782177616354414</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0.46800176131609739</v>
      </c>
      <c r="AH912" s="304">
        <f t="shared" ca="1" si="434"/>
        <v>-9.3250507576833499</v>
      </c>
    </row>
    <row r="913" spans="1:34" x14ac:dyDescent="0.2">
      <c r="A913" s="347">
        <f t="shared" ca="1" si="412"/>
        <v>1E-4</v>
      </c>
      <c r="B913" s="304">
        <f t="shared" ca="1" si="413"/>
        <v>36.839300000001515</v>
      </c>
      <c r="D913" s="306">
        <f t="shared" ca="1" si="414"/>
        <v>-0.54789006475615387</v>
      </c>
      <c r="E913" s="307">
        <f t="shared" ca="1" si="415"/>
        <v>-0.50104058010338015</v>
      </c>
      <c r="F913" s="304">
        <f t="shared" ca="1" si="416"/>
        <v>0.74244540942000181</v>
      </c>
      <c r="G913" s="306">
        <f t="shared" ca="1" si="417"/>
        <v>6.1792903708213691</v>
      </c>
      <c r="H913" s="307">
        <f t="shared" ca="1" si="418"/>
        <v>-104.990589328334</v>
      </c>
      <c r="I913" s="304">
        <f t="shared" ca="1" si="419"/>
        <v>105.17227522972871</v>
      </c>
      <c r="J913" s="306">
        <f t="shared" ca="1" si="420"/>
        <v>745.87074281998321</v>
      </c>
      <c r="K913" s="307">
        <f t="shared" ca="1" si="421"/>
        <v>-12.79383585891147</v>
      </c>
      <c r="L913" s="304">
        <f t="shared" ca="1" si="406"/>
        <v>745.98046035457139</v>
      </c>
      <c r="M913" s="306">
        <f t="shared" ca="1" si="422"/>
        <v>-1.5120084848958391</v>
      </c>
      <c r="N913" s="304">
        <f t="shared" ca="1" si="423"/>
        <v>-86.631704772501664</v>
      </c>
      <c r="P913" s="310">
        <f t="shared" ca="1" si="424"/>
        <v>23</v>
      </c>
      <c r="Q913" s="304">
        <f t="shared" ca="1" si="425"/>
        <v>0</v>
      </c>
      <c r="R913" s="306">
        <f t="shared" ca="1" si="426"/>
        <v>0</v>
      </c>
      <c r="S913" s="307">
        <f t="shared" ca="1" si="427"/>
        <v>2.9792999999999985</v>
      </c>
      <c r="T913" s="304">
        <f t="shared" ca="1" si="407"/>
        <v>29.226932999999988</v>
      </c>
      <c r="U913" s="311">
        <f t="shared" ca="1" si="408"/>
        <v>0</v>
      </c>
      <c r="V913" s="306">
        <f t="shared" ca="1" si="409"/>
        <v>1.2265682480881481</v>
      </c>
      <c r="W913" s="304">
        <f t="shared" ca="1" si="410"/>
        <v>27.782231509511313</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0.46798398771851701</v>
      </c>
      <c r="AH913" s="304">
        <f t="shared" ca="1" si="434"/>
        <v>-9.3250688471635712</v>
      </c>
    </row>
    <row r="914" spans="1:34" x14ac:dyDescent="0.2">
      <c r="A914" s="347">
        <f t="shared" ca="1" si="412"/>
        <v>1E-4</v>
      </c>
      <c r="B914" s="304">
        <f t="shared" ca="1" si="413"/>
        <v>36.839400000001518</v>
      </c>
      <c r="D914" s="306">
        <f t="shared" ca="1" si="414"/>
        <v>-0.54788602592351754</v>
      </c>
      <c r="E914" s="307">
        <f t="shared" ca="1" si="415"/>
        <v>-0.50102222188938939</v>
      </c>
      <c r="F914" s="304">
        <f t="shared" ca="1" si="416"/>
        <v>0.74243003995611989</v>
      </c>
      <c r="G914" s="306">
        <f t="shared" ca="1" si="417"/>
        <v>6.1792355822187766</v>
      </c>
      <c r="H914" s="307">
        <f t="shared" ca="1" si="418"/>
        <v>-104.99063943055619</v>
      </c>
      <c r="I914" s="304">
        <f t="shared" ca="1" si="419"/>
        <v>105.17232202636593</v>
      </c>
      <c r="J914" s="306">
        <f t="shared" ca="1" si="420"/>
        <v>745.87074281998321</v>
      </c>
      <c r="K914" s="307">
        <f t="shared" ca="1" si="421"/>
        <v>-12.804334920349413</v>
      </c>
      <c r="L914" s="304">
        <f t="shared" ca="1" si="406"/>
        <v>745.98064049114976</v>
      </c>
      <c r="M914" s="306">
        <f t="shared" ca="1" si="422"/>
        <v>-1.5120090329265281</v>
      </c>
      <c r="N914" s="304">
        <f t="shared" ca="1" si="423"/>
        <v>-86.631736172347189</v>
      </c>
      <c r="P914" s="310">
        <f t="shared" ca="1" si="424"/>
        <v>23</v>
      </c>
      <c r="Q914" s="304">
        <f t="shared" ca="1" si="425"/>
        <v>0</v>
      </c>
      <c r="R914" s="306">
        <f t="shared" ca="1" si="426"/>
        <v>0</v>
      </c>
      <c r="S914" s="307">
        <f t="shared" ca="1" si="427"/>
        <v>2.9792999999999985</v>
      </c>
      <c r="T914" s="304">
        <f t="shared" ca="1" si="407"/>
        <v>29.226932999999988</v>
      </c>
      <c r="U914" s="311">
        <f t="shared" ca="1" si="408"/>
        <v>0</v>
      </c>
      <c r="V914" s="306">
        <f t="shared" ca="1" si="409"/>
        <v>1.2265695358708912</v>
      </c>
      <c r="W914" s="304">
        <f t="shared" ca="1" si="410"/>
        <v>27.782285401836688</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0.46796621439401598</v>
      </c>
      <c r="AH914" s="304">
        <f t="shared" ca="1" si="434"/>
        <v>-9.3250869363646913</v>
      </c>
    </row>
    <row r="915" spans="1:34" x14ac:dyDescent="0.2">
      <c r="A915" s="347">
        <f t="shared" ca="1" si="412"/>
        <v>1E-4</v>
      </c>
      <c r="B915" s="304">
        <f t="shared" ca="1" si="413"/>
        <v>36.839500000001522</v>
      </c>
      <c r="D915" s="306">
        <f t="shared" ca="1" si="414"/>
        <v>-0.54788198710430147</v>
      </c>
      <c r="E915" s="307">
        <f t="shared" ca="1" si="415"/>
        <v>-0.50100386395857832</v>
      </c>
      <c r="F915" s="304">
        <f t="shared" ca="1" si="416"/>
        <v>0.74241467085098989</v>
      </c>
      <c r="G915" s="306">
        <f t="shared" ca="1" si="417"/>
        <v>6.1791807940200663</v>
      </c>
      <c r="H915" s="307">
        <f t="shared" ca="1" si="418"/>
        <v>-104.99068953094257</v>
      </c>
      <c r="I915" s="304">
        <f t="shared" ca="1" si="419"/>
        <v>105.17236882122586</v>
      </c>
      <c r="J915" s="306">
        <f t="shared" ca="1" si="420"/>
        <v>745.87074281998321</v>
      </c>
      <c r="K915" s="307">
        <f t="shared" ca="1" si="421"/>
        <v>-12.814833986797488</v>
      </c>
      <c r="L915" s="304">
        <f t="shared" ca="1" si="406"/>
        <v>745.98082077553624</v>
      </c>
      <c r="M915" s="306">
        <f t="shared" ca="1" si="422"/>
        <v>-1.5120095809518705</v>
      </c>
      <c r="N915" s="304">
        <f t="shared" ca="1" si="423"/>
        <v>-86.631767571886371</v>
      </c>
      <c r="P915" s="310">
        <f t="shared" ca="1" si="424"/>
        <v>23</v>
      </c>
      <c r="Q915" s="304">
        <f t="shared" ca="1" si="425"/>
        <v>0</v>
      </c>
      <c r="R915" s="306">
        <f t="shared" ca="1" si="426"/>
        <v>0</v>
      </c>
      <c r="S915" s="307">
        <f t="shared" ca="1" si="427"/>
        <v>2.9792999999999985</v>
      </c>
      <c r="T915" s="304">
        <f t="shared" ca="1" si="407"/>
        <v>29.226932999999988</v>
      </c>
      <c r="U915" s="311">
        <f t="shared" ca="1" si="408"/>
        <v>0</v>
      </c>
      <c r="V915" s="306">
        <f t="shared" ca="1" si="409"/>
        <v>1.2265708236556014</v>
      </c>
      <c r="W915" s="304">
        <f t="shared" ca="1" si="410"/>
        <v>27.782339293330558</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0.46794844134258895</v>
      </c>
      <c r="AH915" s="304">
        <f t="shared" ca="1" si="434"/>
        <v>-9.325105025286712</v>
      </c>
    </row>
    <row r="916" spans="1:34" x14ac:dyDescent="0.2">
      <c r="A916" s="347">
        <f t="shared" ca="1" si="412"/>
        <v>1E-4</v>
      </c>
      <c r="B916" s="304">
        <f t="shared" ca="1" si="413"/>
        <v>36.839600000001525</v>
      </c>
      <c r="D916" s="306">
        <f t="shared" ca="1" si="414"/>
        <v>-0.54787794829850267</v>
      </c>
      <c r="E916" s="307">
        <f t="shared" ca="1" si="415"/>
        <v>-0.50098550631093808</v>
      </c>
      <c r="F916" s="304">
        <f t="shared" ca="1" si="416"/>
        <v>0.74239930210460447</v>
      </c>
      <c r="G916" s="306">
        <f t="shared" ca="1" si="417"/>
        <v>6.1791260062252364</v>
      </c>
      <c r="H916" s="307">
        <f t="shared" ca="1" si="418"/>
        <v>-104.99073962949321</v>
      </c>
      <c r="I916" s="304">
        <f t="shared" ca="1" si="419"/>
        <v>105.17241561430851</v>
      </c>
      <c r="J916" s="306">
        <f t="shared" ca="1" si="420"/>
        <v>745.87074281998321</v>
      </c>
      <c r="K916" s="307">
        <f t="shared" ca="1" si="421"/>
        <v>-12.825333058255509</v>
      </c>
      <c r="L916" s="304">
        <f t="shared" ca="1" si="406"/>
        <v>745.98100120773097</v>
      </c>
      <c r="M916" s="306">
        <f t="shared" ca="1" si="422"/>
        <v>-1.5120101289718662</v>
      </c>
      <c r="N916" s="304">
        <f t="shared" ca="1" si="423"/>
        <v>-86.63179897111921</v>
      </c>
      <c r="P916" s="310">
        <f t="shared" ca="1" si="424"/>
        <v>23</v>
      </c>
      <c r="Q916" s="304">
        <f t="shared" ca="1" si="425"/>
        <v>0</v>
      </c>
      <c r="R916" s="306">
        <f t="shared" ca="1" si="426"/>
        <v>0</v>
      </c>
      <c r="S916" s="307">
        <f t="shared" ca="1" si="427"/>
        <v>2.9792999999999985</v>
      </c>
      <c r="T916" s="304">
        <f t="shared" ca="1" si="407"/>
        <v>29.226932999999988</v>
      </c>
      <c r="U916" s="311">
        <f t="shared" ca="1" si="408"/>
        <v>0</v>
      </c>
      <c r="V916" s="306">
        <f t="shared" ca="1" si="409"/>
        <v>1.226572111442279</v>
      </c>
      <c r="W916" s="304">
        <f t="shared" ca="1" si="410"/>
        <v>27.782393183992927</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0.46793066856423593</v>
      </c>
      <c r="AH916" s="304">
        <f t="shared" ca="1" si="434"/>
        <v>-9.3251231139296387</v>
      </c>
    </row>
    <row r="917" spans="1:34" x14ac:dyDescent="0.2">
      <c r="A917" s="347">
        <f t="shared" ca="1" si="412"/>
        <v>1E-4</v>
      </c>
      <c r="B917" s="304">
        <f t="shared" ca="1" si="413"/>
        <v>36.839700000001528</v>
      </c>
      <c r="D917" s="306">
        <f t="shared" ca="1" si="414"/>
        <v>-0.5478739095061238</v>
      </c>
      <c r="E917" s="307">
        <f t="shared" ca="1" si="415"/>
        <v>-0.50096714894647043</v>
      </c>
      <c r="F917" s="304">
        <f t="shared" ca="1" si="416"/>
        <v>0.74238393371696798</v>
      </c>
      <c r="G917" s="306">
        <f t="shared" ca="1" si="417"/>
        <v>6.1790712188342862</v>
      </c>
      <c r="H917" s="307">
        <f t="shared" ca="1" si="418"/>
        <v>-104.99078972620811</v>
      </c>
      <c r="I917" s="304">
        <f t="shared" ca="1" si="419"/>
        <v>105.17246240561391</v>
      </c>
      <c r="J917" s="306">
        <f t="shared" ca="1" si="420"/>
        <v>745.87074281998321</v>
      </c>
      <c r="K917" s="307">
        <f t="shared" ca="1" si="421"/>
        <v>-12.835832134723294</v>
      </c>
      <c r="L917" s="304">
        <f t="shared" ca="1" si="406"/>
        <v>745.98118178773404</v>
      </c>
      <c r="M917" s="306">
        <f t="shared" ca="1" si="422"/>
        <v>-1.5120106769865151</v>
      </c>
      <c r="N917" s="304">
        <f t="shared" ca="1" si="423"/>
        <v>-86.631830370045705</v>
      </c>
      <c r="P917" s="310">
        <f t="shared" ca="1" si="424"/>
        <v>23</v>
      </c>
      <c r="Q917" s="304">
        <f t="shared" ca="1" si="425"/>
        <v>0</v>
      </c>
      <c r="R917" s="306">
        <f t="shared" ca="1" si="426"/>
        <v>0</v>
      </c>
      <c r="S917" s="307">
        <f t="shared" ca="1" si="427"/>
        <v>2.9792999999999985</v>
      </c>
      <c r="T917" s="304">
        <f t="shared" ca="1" si="407"/>
        <v>29.226932999999988</v>
      </c>
      <c r="U917" s="311">
        <f t="shared" ca="1" si="408"/>
        <v>0</v>
      </c>
      <c r="V917" s="306">
        <f t="shared" ca="1" si="409"/>
        <v>1.226573399230924</v>
      </c>
      <c r="W917" s="304">
        <f t="shared" ca="1" si="410"/>
        <v>27.782447073823818</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0.46791289605895336</v>
      </c>
      <c r="AH917" s="304">
        <f t="shared" ca="1" si="434"/>
        <v>-9.3251412022934712</v>
      </c>
    </row>
    <row r="918" spans="1:34" x14ac:dyDescent="0.2">
      <c r="A918" s="347">
        <f t="shared" ca="1" si="412"/>
        <v>1E-4</v>
      </c>
      <c r="B918" s="304">
        <f t="shared" ca="1" si="413"/>
        <v>36.839800000001532</v>
      </c>
      <c r="D918" s="306">
        <f t="shared" ca="1" si="414"/>
        <v>-0.54786987072716442</v>
      </c>
      <c r="E918" s="307">
        <f t="shared" ca="1" si="415"/>
        <v>-0.5009487918651665</v>
      </c>
      <c r="F918" s="304">
        <f t="shared" ca="1" si="416"/>
        <v>0.74236856568807497</v>
      </c>
      <c r="G918" s="306">
        <f t="shared" ca="1" si="417"/>
        <v>6.1790164318472138</v>
      </c>
      <c r="H918" s="307">
        <f t="shared" ca="1" si="418"/>
        <v>-104.99083982108729</v>
      </c>
      <c r="I918" s="304">
        <f t="shared" ca="1" si="419"/>
        <v>105.17250919514208</v>
      </c>
      <c r="J918" s="306">
        <f t="shared" ca="1" si="420"/>
        <v>745.87074281998321</v>
      </c>
      <c r="K918" s="307">
        <f t="shared" ca="1" si="421"/>
        <v>-12.846331216200658</v>
      </c>
      <c r="L918" s="304">
        <f t="shared" ca="1" si="406"/>
        <v>745.98136251554558</v>
      </c>
      <c r="M918" s="306">
        <f t="shared" ca="1" si="422"/>
        <v>-1.5120112249958175</v>
      </c>
      <c r="N918" s="304">
        <f t="shared" ca="1" si="423"/>
        <v>-86.631861768665871</v>
      </c>
      <c r="P918" s="310">
        <f t="shared" ca="1" si="424"/>
        <v>23</v>
      </c>
      <c r="Q918" s="304">
        <f t="shared" ca="1" si="425"/>
        <v>0</v>
      </c>
      <c r="R918" s="306">
        <f t="shared" ca="1" si="426"/>
        <v>0</v>
      </c>
      <c r="S918" s="307">
        <f t="shared" ca="1" si="427"/>
        <v>2.9792999999999985</v>
      </c>
      <c r="T918" s="304">
        <f t="shared" ca="1" si="407"/>
        <v>29.226932999999988</v>
      </c>
      <c r="U918" s="311">
        <f t="shared" ca="1" si="408"/>
        <v>0</v>
      </c>
      <c r="V918" s="306">
        <f t="shared" ca="1" si="409"/>
        <v>1.2265746870215368</v>
      </c>
      <c r="W918" s="304">
        <f t="shared" ca="1" si="410"/>
        <v>27.782500962823228</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0.4678951238267306</v>
      </c>
      <c r="AH918" s="304">
        <f t="shared" ca="1" si="434"/>
        <v>-9.3251592903782203</v>
      </c>
    </row>
    <row r="919" spans="1:34" x14ac:dyDescent="0.2">
      <c r="A919" s="347">
        <f t="shared" ca="1" si="412"/>
        <v>1E-4</v>
      </c>
      <c r="B919" s="304">
        <f t="shared" ca="1" si="413"/>
        <v>36.839900000001535</v>
      </c>
      <c r="D919" s="306">
        <f t="shared" ca="1" si="414"/>
        <v>-0.54786583196162497</v>
      </c>
      <c r="E919" s="307">
        <f t="shared" ca="1" si="415"/>
        <v>-0.5009304350670245</v>
      </c>
      <c r="F919" s="304">
        <f t="shared" ca="1" si="416"/>
        <v>0.74235319801792587</v>
      </c>
      <c r="G919" s="306">
        <f t="shared" ca="1" si="417"/>
        <v>6.1789616452640175</v>
      </c>
      <c r="H919" s="307">
        <f t="shared" ca="1" si="418"/>
        <v>-104.9908899141308</v>
      </c>
      <c r="I919" s="304">
        <f t="shared" ca="1" si="419"/>
        <v>105.17255598289307</v>
      </c>
      <c r="J919" s="306">
        <f t="shared" ca="1" si="420"/>
        <v>745.87074281998321</v>
      </c>
      <c r="K919" s="307">
        <f t="shared" ca="1" si="421"/>
        <v>-12.856830302687419</v>
      </c>
      <c r="L919" s="304">
        <f t="shared" ca="1" si="406"/>
        <v>745.9815433911657</v>
      </c>
      <c r="M919" s="306">
        <f t="shared" ca="1" si="422"/>
        <v>-1.5120117729997735</v>
      </c>
      <c r="N919" s="304">
        <f t="shared" ca="1" si="423"/>
        <v>-86.631893166979708</v>
      </c>
      <c r="P919" s="310">
        <f t="shared" ca="1" si="424"/>
        <v>23</v>
      </c>
      <c r="Q919" s="304">
        <f t="shared" ca="1" si="425"/>
        <v>0</v>
      </c>
      <c r="R919" s="306">
        <f t="shared" ca="1" si="426"/>
        <v>0</v>
      </c>
      <c r="S919" s="307">
        <f t="shared" ca="1" si="427"/>
        <v>2.9792999999999985</v>
      </c>
      <c r="T919" s="304">
        <f t="shared" ca="1" si="407"/>
        <v>29.226932999999988</v>
      </c>
      <c r="U919" s="311">
        <f t="shared" ca="1" si="408"/>
        <v>0</v>
      </c>
      <c r="V919" s="306">
        <f t="shared" ca="1" si="409"/>
        <v>1.2265759748141165</v>
      </c>
      <c r="W919" s="304">
        <f t="shared" ca="1" si="410"/>
        <v>27.782554850991175</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0.46787735186757295</v>
      </c>
      <c r="AH919" s="304">
        <f t="shared" ca="1" si="434"/>
        <v>-9.3251773781838825</v>
      </c>
    </row>
    <row r="920" spans="1:34" x14ac:dyDescent="0.2">
      <c r="A920" s="347">
        <f t="shared" ca="1" si="412"/>
        <v>1E-4</v>
      </c>
      <c r="B920" s="304">
        <f t="shared" ca="1" si="413"/>
        <v>36.840000000001538</v>
      </c>
      <c r="D920" s="306">
        <f t="shared" ca="1" si="414"/>
        <v>-0.54786179320950446</v>
      </c>
      <c r="E920" s="307">
        <f t="shared" ca="1" si="415"/>
        <v>-0.50091207855204267</v>
      </c>
      <c r="F920" s="304">
        <f t="shared" ca="1" si="416"/>
        <v>0.74233783070651971</v>
      </c>
      <c r="G920" s="306">
        <f t="shared" ca="1" si="417"/>
        <v>6.1789068590846963</v>
      </c>
      <c r="H920" s="307">
        <f t="shared" ca="1" si="418"/>
        <v>-104.99094000533866</v>
      </c>
      <c r="I920" s="304">
        <f t="shared" ca="1" si="419"/>
        <v>105.17260276886688</v>
      </c>
      <c r="J920" s="306">
        <f t="shared" ca="1" si="420"/>
        <v>745.87074281998321</v>
      </c>
      <c r="K920" s="307">
        <f t="shared" ca="1" si="421"/>
        <v>-12.867329394183391</v>
      </c>
      <c r="L920" s="304">
        <f t="shared" ca="1" si="406"/>
        <v>745.9817244145944</v>
      </c>
      <c r="M920" s="306">
        <f t="shared" ca="1" si="422"/>
        <v>-1.5120123209983829</v>
      </c>
      <c r="N920" s="304">
        <f t="shared" ca="1" si="423"/>
        <v>-86.631924564987202</v>
      </c>
      <c r="P920" s="310">
        <f t="shared" ca="1" si="424"/>
        <v>23</v>
      </c>
      <c r="Q920" s="304">
        <f t="shared" ca="1" si="425"/>
        <v>0</v>
      </c>
      <c r="R920" s="306">
        <f t="shared" ca="1" si="426"/>
        <v>0</v>
      </c>
      <c r="S920" s="307">
        <f t="shared" ca="1" si="427"/>
        <v>2.9792999999999985</v>
      </c>
      <c r="T920" s="304">
        <f t="shared" ca="1" si="407"/>
        <v>29.226932999999988</v>
      </c>
      <c r="U920" s="311">
        <f t="shared" ca="1" si="408"/>
        <v>0</v>
      </c>
      <c r="V920" s="306">
        <f t="shared" ca="1" si="409"/>
        <v>1.226577262608664</v>
      </c>
      <c r="W920" s="304">
        <f t="shared" ca="1" si="410"/>
        <v>27.782608738327664</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0.46785958018147333</v>
      </c>
      <c r="AH920" s="304">
        <f t="shared" ca="1" si="434"/>
        <v>-9.3251954657104648</v>
      </c>
    </row>
    <row r="921" spans="1:34" x14ac:dyDescent="0.2">
      <c r="A921" s="347">
        <f t="shared" ca="1" si="412"/>
        <v>1E-4</v>
      </c>
      <c r="B921" s="304">
        <f t="shared" ca="1" si="413"/>
        <v>36.840100000001542</v>
      </c>
      <c r="D921" s="306">
        <f t="shared" ca="1" si="414"/>
        <v>-0.54785775447080587</v>
      </c>
      <c r="E921" s="307">
        <f t="shared" ca="1" si="415"/>
        <v>-0.50089372232021567</v>
      </c>
      <c r="F921" s="304">
        <f t="shared" ca="1" si="416"/>
        <v>0.74232246375385613</v>
      </c>
      <c r="G921" s="306">
        <f t="shared" ca="1" si="417"/>
        <v>6.1788520733092493</v>
      </c>
      <c r="H921" s="307">
        <f t="shared" ca="1" si="418"/>
        <v>-104.9909900947109</v>
      </c>
      <c r="I921" s="304">
        <f t="shared" ca="1" si="419"/>
        <v>105.17264955306355</v>
      </c>
      <c r="J921" s="306">
        <f t="shared" ca="1" si="420"/>
        <v>745.87074281998321</v>
      </c>
      <c r="K921" s="307">
        <f t="shared" ca="1" si="421"/>
        <v>-12.877828490688394</v>
      </c>
      <c r="L921" s="304">
        <f t="shared" ca="1" si="406"/>
        <v>745.9819055858319</v>
      </c>
      <c r="M921" s="306">
        <f t="shared" ca="1" si="422"/>
        <v>-1.5120128689916459</v>
      </c>
      <c r="N921" s="304">
        <f t="shared" ca="1" si="423"/>
        <v>-86.631955962688366</v>
      </c>
      <c r="P921" s="310">
        <f t="shared" ca="1" si="424"/>
        <v>23</v>
      </c>
      <c r="Q921" s="304">
        <f t="shared" ca="1" si="425"/>
        <v>0</v>
      </c>
      <c r="R921" s="306">
        <f t="shared" ca="1" si="426"/>
        <v>0</v>
      </c>
      <c r="S921" s="307">
        <f t="shared" ca="1" si="427"/>
        <v>2.9792999999999985</v>
      </c>
      <c r="T921" s="304">
        <f t="shared" ca="1" si="407"/>
        <v>29.226932999999988</v>
      </c>
      <c r="U921" s="311">
        <f t="shared" ca="1" si="408"/>
        <v>0</v>
      </c>
      <c r="V921" s="306">
        <f t="shared" ca="1" si="409"/>
        <v>1.2265785504051785</v>
      </c>
      <c r="W921" s="304">
        <f t="shared" ca="1" si="410"/>
        <v>27.782662624832703</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0.46784180876842818</v>
      </c>
      <c r="AH921" s="304">
        <f t="shared" ca="1" si="434"/>
        <v>-9.3252135529579689</v>
      </c>
    </row>
    <row r="922" spans="1:34" x14ac:dyDescent="0.2">
      <c r="A922" s="347">
        <f t="shared" ca="1" si="412"/>
        <v>1E-4</v>
      </c>
      <c r="B922" s="304">
        <f t="shared" ca="1" si="413"/>
        <v>36.840200000001545</v>
      </c>
      <c r="D922" s="306">
        <f t="shared" ca="1" si="414"/>
        <v>-0.54785371574552821</v>
      </c>
      <c r="E922" s="307">
        <f t="shared" ca="1" si="415"/>
        <v>-0.50087536637153995</v>
      </c>
      <c r="F922" s="304">
        <f t="shared" ca="1" si="416"/>
        <v>0.74230709715993315</v>
      </c>
      <c r="G922" s="306">
        <f t="shared" ca="1" si="417"/>
        <v>6.1787972879376749</v>
      </c>
      <c r="H922" s="307">
        <f t="shared" ca="1" si="418"/>
        <v>-104.99104018224753</v>
      </c>
      <c r="I922" s="304">
        <f t="shared" ca="1" si="419"/>
        <v>105.17269633548311</v>
      </c>
      <c r="J922" s="306">
        <f t="shared" ca="1" si="420"/>
        <v>745.87074281998321</v>
      </c>
      <c r="K922" s="307">
        <f t="shared" ca="1" si="421"/>
        <v>-12.888327592202241</v>
      </c>
      <c r="L922" s="304">
        <f t="shared" ca="1" si="406"/>
        <v>745.98208690487832</v>
      </c>
      <c r="M922" s="306">
        <f t="shared" ca="1" si="422"/>
        <v>-1.5120134169795625</v>
      </c>
      <c r="N922" s="304">
        <f t="shared" ca="1" si="423"/>
        <v>-86.631987360083215</v>
      </c>
      <c r="P922" s="310">
        <f t="shared" ca="1" si="424"/>
        <v>23</v>
      </c>
      <c r="Q922" s="304">
        <f t="shared" ca="1" si="425"/>
        <v>0</v>
      </c>
      <c r="R922" s="306">
        <f t="shared" ca="1" si="426"/>
        <v>0</v>
      </c>
      <c r="S922" s="307">
        <f t="shared" ca="1" si="427"/>
        <v>2.9792999999999985</v>
      </c>
      <c r="T922" s="304">
        <f t="shared" ca="1" si="407"/>
        <v>29.226932999999988</v>
      </c>
      <c r="U922" s="311">
        <f t="shared" ca="1" si="408"/>
        <v>0</v>
      </c>
      <c r="V922" s="306">
        <f t="shared" ca="1" si="409"/>
        <v>1.2265798382036603</v>
      </c>
      <c r="W922" s="304">
        <f t="shared" ca="1" si="410"/>
        <v>27.782716510506308</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0.46782403762843572</v>
      </c>
      <c r="AH922" s="304">
        <f t="shared" ca="1" si="434"/>
        <v>-9.3252316399263986</v>
      </c>
    </row>
    <row r="923" spans="1:34" x14ac:dyDescent="0.2">
      <c r="A923" s="347">
        <f t="shared" ca="1" si="412"/>
        <v>1E-4</v>
      </c>
      <c r="B923" s="304">
        <f t="shared" ca="1" si="413"/>
        <v>36.840300000001548</v>
      </c>
      <c r="D923" s="306">
        <f t="shared" ca="1" si="414"/>
        <v>-0.54784967703367227</v>
      </c>
      <c r="E923" s="307">
        <f t="shared" ca="1" si="415"/>
        <v>-0.50085701070601729</v>
      </c>
      <c r="F923" s="304">
        <f t="shared" ca="1" si="416"/>
        <v>0.74229173092475342</v>
      </c>
      <c r="G923" s="306">
        <f t="shared" ca="1" si="417"/>
        <v>6.1787425029699712</v>
      </c>
      <c r="H923" s="307">
        <f t="shared" ca="1" si="418"/>
        <v>-104.99109026794861</v>
      </c>
      <c r="I923" s="304">
        <f t="shared" ca="1" si="419"/>
        <v>105.17274311612559</v>
      </c>
      <c r="J923" s="306">
        <f t="shared" ca="1" si="420"/>
        <v>745.87074281998321</v>
      </c>
      <c r="K923" s="307">
        <f t="shared" ca="1" si="421"/>
        <v>-12.898826698724751</v>
      </c>
      <c r="L923" s="304">
        <f t="shared" ca="1" si="406"/>
        <v>745.98226837173365</v>
      </c>
      <c r="M923" s="306">
        <f t="shared" ca="1" si="422"/>
        <v>-1.5120139649621327</v>
      </c>
      <c r="N923" s="304">
        <f t="shared" ca="1" si="423"/>
        <v>-86.632018757171736</v>
      </c>
      <c r="P923" s="310">
        <f t="shared" ca="1" si="424"/>
        <v>23</v>
      </c>
      <c r="Q923" s="304">
        <f t="shared" ca="1" si="425"/>
        <v>0</v>
      </c>
      <c r="R923" s="306">
        <f t="shared" ca="1" si="426"/>
        <v>0</v>
      </c>
      <c r="S923" s="307">
        <f t="shared" ca="1" si="427"/>
        <v>2.9792999999999985</v>
      </c>
      <c r="T923" s="304">
        <f t="shared" ca="1" si="407"/>
        <v>29.226932999999988</v>
      </c>
      <c r="U923" s="311">
        <f t="shared" ca="1" si="408"/>
        <v>0</v>
      </c>
      <c r="V923" s="306">
        <f t="shared" ca="1" si="409"/>
        <v>1.2265811260041097</v>
      </c>
      <c r="W923" s="304">
        <f t="shared" ca="1" si="410"/>
        <v>27.782770395348486</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0.46780626676149595</v>
      </c>
      <c r="AH923" s="304">
        <f t="shared" ca="1" si="434"/>
        <v>-9.3252497266157555</v>
      </c>
    </row>
    <row r="924" spans="1:34" x14ac:dyDescent="0.2">
      <c r="A924" s="347">
        <f t="shared" ca="1" si="412"/>
        <v>1E-4</v>
      </c>
      <c r="B924" s="304">
        <f t="shared" ca="1" si="413"/>
        <v>36.840400000001551</v>
      </c>
      <c r="D924" s="306">
        <f t="shared" ca="1" si="414"/>
        <v>-0.54784563833523914</v>
      </c>
      <c r="E924" s="307">
        <f t="shared" ca="1" si="415"/>
        <v>-0.50083865532363703</v>
      </c>
      <c r="F924" s="304">
        <f t="shared" ca="1" si="416"/>
        <v>0.74227636504831174</v>
      </c>
      <c r="G924" s="306">
        <f t="shared" ca="1" si="417"/>
        <v>6.1786877184061373</v>
      </c>
      <c r="H924" s="307">
        <f t="shared" ca="1" si="418"/>
        <v>-104.99114035181414</v>
      </c>
      <c r="I924" s="304">
        <f t="shared" ca="1" si="419"/>
        <v>105.17278989499098</v>
      </c>
      <c r="J924" s="306">
        <f t="shared" ca="1" si="420"/>
        <v>745.87074281998321</v>
      </c>
      <c r="K924" s="307">
        <f t="shared" ca="1" si="421"/>
        <v>-12.909325810255739</v>
      </c>
      <c r="L924" s="304">
        <f t="shared" ca="1" si="406"/>
        <v>745.98244998639802</v>
      </c>
      <c r="M924" s="306">
        <f t="shared" ca="1" si="422"/>
        <v>-1.512014512939357</v>
      </c>
      <c r="N924" s="304">
        <f t="shared" ca="1" si="423"/>
        <v>-86.632050153953955</v>
      </c>
      <c r="P924" s="310">
        <f t="shared" ca="1" si="424"/>
        <v>23</v>
      </c>
      <c r="Q924" s="304">
        <f t="shared" ca="1" si="425"/>
        <v>0</v>
      </c>
      <c r="R924" s="306">
        <f t="shared" ca="1" si="426"/>
        <v>0</v>
      </c>
      <c r="S924" s="307">
        <f t="shared" ca="1" si="427"/>
        <v>2.9792999999999985</v>
      </c>
      <c r="T924" s="304">
        <f t="shared" ca="1" si="407"/>
        <v>29.226932999999988</v>
      </c>
      <c r="U924" s="311">
        <f t="shared" ca="1" si="408"/>
        <v>0</v>
      </c>
      <c r="V924" s="306">
        <f t="shared" ca="1" si="409"/>
        <v>1.226582413806526</v>
      </c>
      <c r="W924" s="304">
        <f t="shared" ca="1" si="410"/>
        <v>27.782824279359236</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0.46778849616759643</v>
      </c>
      <c r="AH924" s="304">
        <f t="shared" ca="1" si="434"/>
        <v>-9.3252678130260467</v>
      </c>
    </row>
    <row r="925" spans="1:34" x14ac:dyDescent="0.2">
      <c r="A925" s="347">
        <f t="shared" ca="1" si="412"/>
        <v>1E-4</v>
      </c>
      <c r="B925" s="304">
        <f t="shared" ca="1" si="413"/>
        <v>36.840500000001555</v>
      </c>
      <c r="D925" s="306">
        <f t="shared" ca="1" si="414"/>
        <v>-0.54784159965022516</v>
      </c>
      <c r="E925" s="307">
        <f t="shared" ca="1" si="415"/>
        <v>-0.50082030022440449</v>
      </c>
      <c r="F925" s="304">
        <f t="shared" ca="1" si="416"/>
        <v>0.74226099953060998</v>
      </c>
      <c r="G925" s="306">
        <f t="shared" ca="1" si="417"/>
        <v>6.1786329342461723</v>
      </c>
      <c r="H925" s="307">
        <f t="shared" ca="1" si="418"/>
        <v>-104.99119043384417</v>
      </c>
      <c r="I925" s="304">
        <f t="shared" ca="1" si="419"/>
        <v>105.17283667207937</v>
      </c>
      <c r="J925" s="306">
        <f t="shared" ca="1" si="420"/>
        <v>745.87074281998321</v>
      </c>
      <c r="K925" s="307">
        <f t="shared" ca="1" si="421"/>
        <v>-12.919824926795021</v>
      </c>
      <c r="L925" s="304">
        <f t="shared" ca="1" si="406"/>
        <v>745.98263174887154</v>
      </c>
      <c r="M925" s="306">
        <f t="shared" ca="1" si="422"/>
        <v>-1.5120150609112348</v>
      </c>
      <c r="N925" s="304">
        <f t="shared" ca="1" si="423"/>
        <v>-86.632081550429845</v>
      </c>
      <c r="P925" s="310">
        <f t="shared" ca="1" si="424"/>
        <v>23</v>
      </c>
      <c r="Q925" s="304">
        <f t="shared" ca="1" si="425"/>
        <v>0</v>
      </c>
      <c r="R925" s="306">
        <f t="shared" ca="1" si="426"/>
        <v>0</v>
      </c>
      <c r="S925" s="307">
        <f t="shared" ca="1" si="427"/>
        <v>2.9792999999999985</v>
      </c>
      <c r="T925" s="304">
        <f t="shared" ca="1" si="407"/>
        <v>29.226932999999988</v>
      </c>
      <c r="U925" s="311">
        <f t="shared" ca="1" si="408"/>
        <v>0</v>
      </c>
      <c r="V925" s="306">
        <f t="shared" ca="1" si="409"/>
        <v>1.2265837016109098</v>
      </c>
      <c r="W925" s="304">
        <f t="shared" ca="1" si="410"/>
        <v>27.782878162538594</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0.46777072584674606</v>
      </c>
      <c r="AH925" s="304">
        <f t="shared" ca="1" si="434"/>
        <v>-9.3252858991572687</v>
      </c>
    </row>
    <row r="926" spans="1:34" x14ac:dyDescent="0.2">
      <c r="A926" s="347">
        <f t="shared" ca="1" si="412"/>
        <v>1E-4</v>
      </c>
      <c r="B926" s="304">
        <f t="shared" ca="1" si="413"/>
        <v>36.840600000001558</v>
      </c>
      <c r="D926" s="306">
        <f t="shared" ca="1" si="414"/>
        <v>-0.54783756097863623</v>
      </c>
      <c r="E926" s="307">
        <f t="shared" ca="1" si="415"/>
        <v>-0.50080194540830369</v>
      </c>
      <c r="F926" s="304">
        <f t="shared" ca="1" si="416"/>
        <v>0.74224563437164293</v>
      </c>
      <c r="G926" s="306">
        <f t="shared" ca="1" si="417"/>
        <v>6.1785781504900745</v>
      </c>
      <c r="H926" s="307">
        <f t="shared" ca="1" si="418"/>
        <v>-104.99124051403871</v>
      </c>
      <c r="I926" s="304">
        <f t="shared" ca="1" si="419"/>
        <v>105.17288344739073</v>
      </c>
      <c r="J926" s="306">
        <f t="shared" ca="1" si="420"/>
        <v>745.87074281998321</v>
      </c>
      <c r="K926" s="307">
        <f t="shared" ca="1" si="421"/>
        <v>-12.930324048342415</v>
      </c>
      <c r="L926" s="304">
        <f t="shared" ca="1" si="406"/>
        <v>745.98281365915443</v>
      </c>
      <c r="M926" s="306">
        <f t="shared" ca="1" si="422"/>
        <v>-1.5120156088777668</v>
      </c>
      <c r="N926" s="304">
        <f t="shared" ca="1" si="423"/>
        <v>-86.632112946599449</v>
      </c>
      <c r="P926" s="310">
        <f t="shared" ca="1" si="424"/>
        <v>23</v>
      </c>
      <c r="Q926" s="304">
        <f t="shared" ca="1" si="425"/>
        <v>0</v>
      </c>
      <c r="R926" s="306">
        <f t="shared" ca="1" si="426"/>
        <v>0</v>
      </c>
      <c r="S926" s="307">
        <f t="shared" ca="1" si="427"/>
        <v>2.9792999999999985</v>
      </c>
      <c r="T926" s="304">
        <f t="shared" ca="1" si="407"/>
        <v>29.226932999999988</v>
      </c>
      <c r="U926" s="311">
        <f t="shared" ca="1" si="408"/>
        <v>0</v>
      </c>
      <c r="V926" s="306">
        <f t="shared" ca="1" si="409"/>
        <v>1.2265849894172609</v>
      </c>
      <c r="W926" s="304">
        <f t="shared" ca="1" si="410"/>
        <v>27.782932044886536</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0.46775295579893239</v>
      </c>
      <c r="AH926" s="304">
        <f t="shared" ca="1" si="434"/>
        <v>-9.3253039850094339</v>
      </c>
    </row>
    <row r="927" spans="1:34" x14ac:dyDescent="0.2">
      <c r="A927" s="347">
        <f t="shared" ca="1" si="412"/>
        <v>1E-4</v>
      </c>
      <c r="B927" s="304">
        <f t="shared" ca="1" si="413"/>
        <v>36.840700000001561</v>
      </c>
      <c r="D927" s="306">
        <f t="shared" ca="1" si="414"/>
        <v>-0.54783352232046834</v>
      </c>
      <c r="E927" s="307">
        <f t="shared" ca="1" si="415"/>
        <v>-0.50078359087534885</v>
      </c>
      <c r="F927" s="304">
        <f t="shared" ca="1" si="416"/>
        <v>0.74223026957141802</v>
      </c>
      <c r="G927" s="306">
        <f t="shared" ca="1" si="417"/>
        <v>6.1785233671378421</v>
      </c>
      <c r="H927" s="307">
        <f t="shared" ca="1" si="418"/>
        <v>-104.99129059239779</v>
      </c>
      <c r="I927" s="304">
        <f t="shared" ca="1" si="419"/>
        <v>105.17293022092511</v>
      </c>
      <c r="J927" s="306">
        <f t="shared" ca="1" si="420"/>
        <v>745.87074281998321</v>
      </c>
      <c r="K927" s="307">
        <f t="shared" ca="1" si="421"/>
        <v>-12.940823174897737</v>
      </c>
      <c r="L927" s="304">
        <f t="shared" ca="1" si="406"/>
        <v>745.98299571724658</v>
      </c>
      <c r="M927" s="306">
        <f t="shared" ca="1" si="422"/>
        <v>-1.5120161568389527</v>
      </c>
      <c r="N927" s="304">
        <f t="shared" ca="1" si="423"/>
        <v>-86.632144342462738</v>
      </c>
      <c r="P927" s="310">
        <f t="shared" ca="1" si="424"/>
        <v>23</v>
      </c>
      <c r="Q927" s="304">
        <f t="shared" ca="1" si="425"/>
        <v>0</v>
      </c>
      <c r="R927" s="306">
        <f t="shared" ca="1" si="426"/>
        <v>0</v>
      </c>
      <c r="S927" s="307">
        <f t="shared" ca="1" si="427"/>
        <v>2.9792999999999985</v>
      </c>
      <c r="T927" s="304">
        <f t="shared" ca="1" si="407"/>
        <v>29.226932999999988</v>
      </c>
      <c r="U927" s="311">
        <f t="shared" ca="1" si="408"/>
        <v>0</v>
      </c>
      <c r="V927" s="306">
        <f t="shared" ca="1" si="409"/>
        <v>1.2265862772255791</v>
      </c>
      <c r="W927" s="304">
        <f t="shared" ca="1" si="410"/>
        <v>27.7829859264031</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0.46773518602415898</v>
      </c>
      <c r="AH927" s="304">
        <f t="shared" ca="1" si="434"/>
        <v>-9.3253220705825353</v>
      </c>
    </row>
    <row r="928" spans="1:34" x14ac:dyDescent="0.2">
      <c r="A928" s="347">
        <f t="shared" ca="1" si="412"/>
        <v>1E-4</v>
      </c>
      <c r="B928" s="304">
        <f t="shared" ca="1" si="413"/>
        <v>36.840800000001565</v>
      </c>
      <c r="D928" s="306">
        <f t="shared" ca="1" si="414"/>
        <v>-0.54782948367572315</v>
      </c>
      <c r="E928" s="307">
        <f t="shared" ca="1" si="415"/>
        <v>-0.50076523662551864</v>
      </c>
      <c r="F928" s="304">
        <f t="shared" ca="1" si="416"/>
        <v>0.74221490512992327</v>
      </c>
      <c r="G928" s="306">
        <f t="shared" ca="1" si="417"/>
        <v>6.1784685841894742</v>
      </c>
      <c r="H928" s="307">
        <f t="shared" ca="1" si="418"/>
        <v>-104.99134066892145</v>
      </c>
      <c r="I928" s="304">
        <f t="shared" ca="1" si="419"/>
        <v>105.17297699268256</v>
      </c>
      <c r="J928" s="306">
        <f t="shared" ca="1" si="420"/>
        <v>745.87074281998321</v>
      </c>
      <c r="K928" s="307">
        <f t="shared" ca="1" si="421"/>
        <v>-12.951322306460803</v>
      </c>
      <c r="L928" s="304">
        <f t="shared" ca="1" si="406"/>
        <v>745.98317792314822</v>
      </c>
      <c r="M928" s="306">
        <f t="shared" ca="1" si="422"/>
        <v>-1.5120167047947926</v>
      </c>
      <c r="N928" s="304">
        <f t="shared" ca="1" si="423"/>
        <v>-86.632175738019711</v>
      </c>
      <c r="P928" s="310">
        <f t="shared" ca="1" si="424"/>
        <v>23</v>
      </c>
      <c r="Q928" s="304">
        <f t="shared" ca="1" si="425"/>
        <v>0</v>
      </c>
      <c r="R928" s="306">
        <f t="shared" ca="1" si="426"/>
        <v>0</v>
      </c>
      <c r="S928" s="307">
        <f t="shared" ca="1" si="427"/>
        <v>2.9792999999999985</v>
      </c>
      <c r="T928" s="304">
        <f t="shared" ca="1" si="407"/>
        <v>29.226932999999988</v>
      </c>
      <c r="U928" s="311">
        <f t="shared" ca="1" si="408"/>
        <v>0</v>
      </c>
      <c r="V928" s="306">
        <f t="shared" ca="1" si="409"/>
        <v>1.2265875650358646</v>
      </c>
      <c r="W928" s="304">
        <f t="shared" ca="1" si="410"/>
        <v>27.78303980708829</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0.46771741652241339</v>
      </c>
      <c r="AH928" s="304">
        <f t="shared" ca="1" si="434"/>
        <v>-9.3253401558765869</v>
      </c>
    </row>
    <row r="929" spans="1:34" x14ac:dyDescent="0.2">
      <c r="A929" s="347">
        <f t="shared" ca="1" si="412"/>
        <v>1E-4</v>
      </c>
      <c r="B929" s="304">
        <f t="shared" ca="1" si="413"/>
        <v>36.840900000001568</v>
      </c>
      <c r="D929" s="306">
        <f t="shared" ca="1" si="414"/>
        <v>-0.54782544504440334</v>
      </c>
      <c r="E929" s="307">
        <f t="shared" ca="1" si="415"/>
        <v>-0.50074688265881839</v>
      </c>
      <c r="F929" s="304">
        <f t="shared" ca="1" si="416"/>
        <v>0.74219954104716546</v>
      </c>
      <c r="G929" s="306">
        <f t="shared" ca="1" si="417"/>
        <v>6.1784138016449699</v>
      </c>
      <c r="H929" s="307">
        <f t="shared" ca="1" si="418"/>
        <v>-104.99139074360971</v>
      </c>
      <c r="I929" s="304">
        <f t="shared" ca="1" si="419"/>
        <v>105.17302376266308</v>
      </c>
      <c r="J929" s="306">
        <f t="shared" ca="1" si="420"/>
        <v>745.87074281998321</v>
      </c>
      <c r="K929" s="307">
        <f t="shared" ca="1" si="421"/>
        <v>-12.961821443031429</v>
      </c>
      <c r="L929" s="304">
        <f t="shared" ca="1" si="406"/>
        <v>745.98336027685934</v>
      </c>
      <c r="M929" s="306">
        <f t="shared" ca="1" si="422"/>
        <v>-1.5120172527452866</v>
      </c>
      <c r="N929" s="304">
        <f t="shared" ca="1" si="423"/>
        <v>-86.632207133270413</v>
      </c>
      <c r="P929" s="310">
        <f t="shared" ca="1" si="424"/>
        <v>23</v>
      </c>
      <c r="Q929" s="304">
        <f t="shared" ca="1" si="425"/>
        <v>0</v>
      </c>
      <c r="R929" s="306">
        <f t="shared" ca="1" si="426"/>
        <v>0</v>
      </c>
      <c r="S929" s="307">
        <f t="shared" ca="1" si="427"/>
        <v>2.9792999999999985</v>
      </c>
      <c r="T929" s="304">
        <f t="shared" ca="1" si="407"/>
        <v>29.226932999999988</v>
      </c>
      <c r="U929" s="311">
        <f t="shared" ca="1" si="408"/>
        <v>0</v>
      </c>
      <c r="V929" s="306">
        <f t="shared" ca="1" si="409"/>
        <v>1.226588852848117</v>
      </c>
      <c r="W929" s="304">
        <f t="shared" ca="1" si="410"/>
        <v>27.783093686942095</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0.4676996472936974</v>
      </c>
      <c r="AH929" s="304">
        <f t="shared" ca="1" si="434"/>
        <v>-9.3253582408915872</v>
      </c>
    </row>
    <row r="930" spans="1:34" x14ac:dyDescent="0.2">
      <c r="A930" s="347">
        <f t="shared" ca="1" si="412"/>
        <v>1E-4</v>
      </c>
      <c r="B930" s="304">
        <f t="shared" ca="1" si="413"/>
        <v>36.841000000001571</v>
      </c>
      <c r="D930" s="306">
        <f t="shared" ca="1" si="414"/>
        <v>-0.54782140642650534</v>
      </c>
      <c r="E930" s="307">
        <f t="shared" ca="1" si="415"/>
        <v>-0.50072852897524989</v>
      </c>
      <c r="F930" s="304">
        <f t="shared" ca="1" si="416"/>
        <v>0.7421841773231439</v>
      </c>
      <c r="G930" s="306">
        <f t="shared" ca="1" si="417"/>
        <v>6.1783590195043274</v>
      </c>
      <c r="H930" s="307">
        <f t="shared" ca="1" si="418"/>
        <v>-104.99144081646261</v>
      </c>
      <c r="I930" s="304">
        <f t="shared" ca="1" si="419"/>
        <v>105.17307053086671</v>
      </c>
      <c r="J930" s="306">
        <f t="shared" ca="1" si="420"/>
        <v>745.87074281998321</v>
      </c>
      <c r="K930" s="307">
        <f t="shared" ca="1" si="421"/>
        <v>-12.972320584609433</v>
      </c>
      <c r="L930" s="304">
        <f t="shared" ca="1" si="406"/>
        <v>745.98354277838018</v>
      </c>
      <c r="M930" s="306">
        <f t="shared" ca="1" si="422"/>
        <v>-1.5120178006904348</v>
      </c>
      <c r="N930" s="304">
        <f t="shared" ca="1" si="423"/>
        <v>-86.632238528214799</v>
      </c>
      <c r="P930" s="310">
        <f t="shared" ca="1" si="424"/>
        <v>23</v>
      </c>
      <c r="Q930" s="304">
        <f t="shared" ca="1" si="425"/>
        <v>0</v>
      </c>
      <c r="R930" s="306">
        <f t="shared" ca="1" si="426"/>
        <v>0</v>
      </c>
      <c r="S930" s="307">
        <f t="shared" ca="1" si="427"/>
        <v>2.9792999999999985</v>
      </c>
      <c r="T930" s="304">
        <f t="shared" ca="1" si="407"/>
        <v>29.226932999999988</v>
      </c>
      <c r="U930" s="311">
        <f t="shared" ca="1" si="408"/>
        <v>0</v>
      </c>
      <c r="V930" s="306">
        <f t="shared" ca="1" si="409"/>
        <v>1.2265901406623372</v>
      </c>
      <c r="W930" s="304">
        <f t="shared" ca="1" si="410"/>
        <v>27.783147565964565</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0.46768187833801811</v>
      </c>
      <c r="AH930" s="304">
        <f t="shared" ca="1" si="434"/>
        <v>-9.3253763256275324</v>
      </c>
    </row>
    <row r="931" spans="1:34" x14ac:dyDescent="0.2">
      <c r="A931" s="347">
        <f t="shared" ca="1" si="412"/>
        <v>1E-4</v>
      </c>
      <c r="B931" s="304">
        <f t="shared" ca="1" si="413"/>
        <v>36.841100000001575</v>
      </c>
      <c r="D931" s="306">
        <f t="shared" ca="1" si="414"/>
        <v>-0.54781736782203316</v>
      </c>
      <c r="E931" s="307">
        <f t="shared" ca="1" si="415"/>
        <v>-0.50071017557479358</v>
      </c>
      <c r="F931" s="304">
        <f t="shared" ca="1" si="416"/>
        <v>0.74216881395784973</v>
      </c>
      <c r="G931" s="306">
        <f t="shared" ca="1" si="417"/>
        <v>6.178304237767545</v>
      </c>
      <c r="H931" s="307">
        <f t="shared" ca="1" si="418"/>
        <v>-104.99149088748017</v>
      </c>
      <c r="I931" s="304">
        <f t="shared" ca="1" si="419"/>
        <v>105.17311729729344</v>
      </c>
      <c r="J931" s="306">
        <f t="shared" ca="1" si="420"/>
        <v>745.87074281998321</v>
      </c>
      <c r="K931" s="307">
        <f t="shared" ca="1" si="421"/>
        <v>-12.982819731194629</v>
      </c>
      <c r="L931" s="304">
        <f t="shared" ca="1" si="406"/>
        <v>745.98372542771085</v>
      </c>
      <c r="M931" s="306">
        <f t="shared" ca="1" si="422"/>
        <v>-1.5120183486302372</v>
      </c>
      <c r="N931" s="304">
        <f t="shared" ca="1" si="423"/>
        <v>-86.632269922852913</v>
      </c>
      <c r="P931" s="310">
        <f t="shared" ca="1" si="424"/>
        <v>23</v>
      </c>
      <c r="Q931" s="304">
        <f t="shared" ca="1" si="425"/>
        <v>0</v>
      </c>
      <c r="R931" s="306">
        <f t="shared" ca="1" si="426"/>
        <v>0</v>
      </c>
      <c r="S931" s="307">
        <f t="shared" ca="1" si="427"/>
        <v>2.9792999999999985</v>
      </c>
      <c r="T931" s="304">
        <f t="shared" ca="1" si="407"/>
        <v>29.226932999999988</v>
      </c>
      <c r="U931" s="311">
        <f t="shared" ca="1" si="408"/>
        <v>0</v>
      </c>
      <c r="V931" s="306">
        <f t="shared" ca="1" si="409"/>
        <v>1.226591428478524</v>
      </c>
      <c r="W931" s="304">
        <f t="shared" ca="1" si="410"/>
        <v>27.783201444155672</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0.46766410965535066</v>
      </c>
      <c r="AH931" s="304">
        <f t="shared" ca="1" si="434"/>
        <v>-9.3253944100844421</v>
      </c>
    </row>
    <row r="932" spans="1:34" x14ac:dyDescent="0.2">
      <c r="A932" s="347">
        <f t="shared" ca="1" si="412"/>
        <v>1E-4</v>
      </c>
      <c r="B932" s="304">
        <f t="shared" ca="1" si="413"/>
        <v>36.841200000001578</v>
      </c>
      <c r="D932" s="306">
        <f t="shared" ca="1" si="414"/>
        <v>-0.5478133292309848</v>
      </c>
      <c r="E932" s="307">
        <f t="shared" ca="1" si="415"/>
        <v>-0.50069182245746191</v>
      </c>
      <c r="F932" s="304">
        <f t="shared" ca="1" si="416"/>
        <v>0.74215345095129071</v>
      </c>
      <c r="G932" s="306">
        <f t="shared" ca="1" si="417"/>
        <v>6.1782494564346218</v>
      </c>
      <c r="H932" s="307">
        <f t="shared" ca="1" si="418"/>
        <v>-104.99154095666242</v>
      </c>
      <c r="I932" s="304">
        <f t="shared" ca="1" si="419"/>
        <v>105.17316406194337</v>
      </c>
      <c r="J932" s="306">
        <f t="shared" ca="1" si="420"/>
        <v>745.87074281998321</v>
      </c>
      <c r="K932" s="307">
        <f t="shared" ca="1" si="421"/>
        <v>-12.993318882786836</v>
      </c>
      <c r="L932" s="304">
        <f t="shared" ca="1" si="406"/>
        <v>745.98390822485123</v>
      </c>
      <c r="M932" s="306">
        <f t="shared" ca="1" si="422"/>
        <v>-1.5120188965646939</v>
      </c>
      <c r="N932" s="304">
        <f t="shared" ca="1" si="423"/>
        <v>-86.632301317184726</v>
      </c>
      <c r="P932" s="310">
        <f t="shared" ca="1" si="424"/>
        <v>23</v>
      </c>
      <c r="Q932" s="304">
        <f t="shared" ca="1" si="425"/>
        <v>0</v>
      </c>
      <c r="R932" s="306">
        <f t="shared" ca="1" si="426"/>
        <v>0</v>
      </c>
      <c r="S932" s="307">
        <f t="shared" ca="1" si="427"/>
        <v>2.9792999999999985</v>
      </c>
      <c r="T932" s="304">
        <f t="shared" ca="1" si="407"/>
        <v>29.226932999999988</v>
      </c>
      <c r="U932" s="311">
        <f t="shared" ca="1" si="408"/>
        <v>0</v>
      </c>
      <c r="V932" s="306">
        <f t="shared" ca="1" si="409"/>
        <v>1.2265927162966781</v>
      </c>
      <c r="W932" s="304">
        <f t="shared" ca="1" si="410"/>
        <v>27.783255321515451</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0.46764634124570925</v>
      </c>
      <c r="AH932" s="304">
        <f t="shared" ca="1" si="434"/>
        <v>-9.3254124942623058</v>
      </c>
    </row>
    <row r="933" spans="1:34" x14ac:dyDescent="0.2">
      <c r="A933" s="347">
        <f t="shared" ca="1" si="412"/>
        <v>1E-4</v>
      </c>
      <c r="B933" s="304">
        <f t="shared" ca="1" si="413"/>
        <v>36.841300000001581</v>
      </c>
      <c r="D933" s="306">
        <f t="shared" ca="1" si="414"/>
        <v>-0.54780929065336148</v>
      </c>
      <c r="E933" s="307">
        <f t="shared" ca="1" si="415"/>
        <v>-0.50067346962324244</v>
      </c>
      <c r="F933" s="304">
        <f t="shared" ca="1" si="416"/>
        <v>0.74213808830346051</v>
      </c>
      <c r="G933" s="306">
        <f t="shared" ca="1" si="417"/>
        <v>6.1781946755055568</v>
      </c>
      <c r="H933" s="307">
        <f t="shared" ca="1" si="418"/>
        <v>-104.99159102400938</v>
      </c>
      <c r="I933" s="304">
        <f t="shared" ca="1" si="419"/>
        <v>105.17321082481646</v>
      </c>
      <c r="J933" s="306">
        <f t="shared" ca="1" si="420"/>
        <v>745.87074281998321</v>
      </c>
      <c r="K933" s="307">
        <f t="shared" ca="1" si="421"/>
        <v>-13.00381803938587</v>
      </c>
      <c r="L933" s="304">
        <f t="shared" ca="1" si="406"/>
        <v>745.98409116980167</v>
      </c>
      <c r="M933" s="306">
        <f t="shared" ca="1" si="422"/>
        <v>-1.5120194444938049</v>
      </c>
      <c r="N933" s="304">
        <f t="shared" ca="1" si="423"/>
        <v>-86.632332711210253</v>
      </c>
      <c r="P933" s="310">
        <f t="shared" ca="1" si="424"/>
        <v>23</v>
      </c>
      <c r="Q933" s="304">
        <f t="shared" ca="1" si="425"/>
        <v>0</v>
      </c>
      <c r="R933" s="306">
        <f t="shared" ca="1" si="426"/>
        <v>0</v>
      </c>
      <c r="S933" s="307">
        <f t="shared" ca="1" si="427"/>
        <v>2.9792999999999985</v>
      </c>
      <c r="T933" s="304">
        <f t="shared" ca="1" si="407"/>
        <v>29.226932999999988</v>
      </c>
      <c r="U933" s="311">
        <f t="shared" ca="1" si="408"/>
        <v>0</v>
      </c>
      <c r="V933" s="306">
        <f t="shared" ca="1" si="409"/>
        <v>1.2265940041167993</v>
      </c>
      <c r="W933" s="304">
        <f t="shared" ca="1" si="410"/>
        <v>27.783309198043899</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0.46762857310908146</v>
      </c>
      <c r="AH933" s="304">
        <f t="shared" ca="1" si="434"/>
        <v>-9.325430578161134</v>
      </c>
    </row>
    <row r="934" spans="1:34" x14ac:dyDescent="0.2">
      <c r="A934" s="347">
        <f t="shared" ca="1" si="412"/>
        <v>1E-4</v>
      </c>
      <c r="B934" s="304">
        <f t="shared" ca="1" si="413"/>
        <v>36.841400000001585</v>
      </c>
      <c r="D934" s="306">
        <f t="shared" ca="1" si="414"/>
        <v>-0.54780525208916431</v>
      </c>
      <c r="E934" s="307">
        <f t="shared" ca="1" si="415"/>
        <v>-0.50065511707213695</v>
      </c>
      <c r="F934" s="304">
        <f t="shared" ca="1" si="416"/>
        <v>0.74212272601436213</v>
      </c>
      <c r="G934" s="306">
        <f t="shared" ca="1" si="417"/>
        <v>6.1781398949803474</v>
      </c>
      <c r="H934" s="307">
        <f t="shared" ca="1" si="418"/>
        <v>-104.99164108952108</v>
      </c>
      <c r="I934" s="304">
        <f t="shared" ca="1" si="419"/>
        <v>105.17325758591276</v>
      </c>
      <c r="J934" s="306">
        <f t="shared" ca="1" si="420"/>
        <v>745.87074281998321</v>
      </c>
      <c r="K934" s="307">
        <f t="shared" ca="1" si="421"/>
        <v>-13.014317200991545</v>
      </c>
      <c r="L934" s="304">
        <f t="shared" ca="1" si="406"/>
        <v>745.98427426256217</v>
      </c>
      <c r="M934" s="306">
        <f t="shared" ca="1" si="422"/>
        <v>-1.5120199924175703</v>
      </c>
      <c r="N934" s="304">
        <f t="shared" ca="1" si="423"/>
        <v>-86.632364104929522</v>
      </c>
      <c r="P934" s="310">
        <f t="shared" ca="1" si="424"/>
        <v>23</v>
      </c>
      <c r="Q934" s="304">
        <f t="shared" ca="1" si="425"/>
        <v>0</v>
      </c>
      <c r="R934" s="306">
        <f t="shared" ca="1" si="426"/>
        <v>0</v>
      </c>
      <c r="S934" s="307">
        <f t="shared" ca="1" si="427"/>
        <v>2.9792999999999985</v>
      </c>
      <c r="T934" s="304">
        <f t="shared" ca="1" si="407"/>
        <v>29.226932999999988</v>
      </c>
      <c r="U934" s="311">
        <f t="shared" ca="1" si="408"/>
        <v>0</v>
      </c>
      <c r="V934" s="306">
        <f t="shared" ca="1" si="409"/>
        <v>1.2265952919388876</v>
      </c>
      <c r="W934" s="304">
        <f t="shared" ca="1" si="410"/>
        <v>27.783363073741018</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0.46761080524547083</v>
      </c>
      <c r="AH934" s="304">
        <f t="shared" ca="1" si="434"/>
        <v>-9.3254486617809267</v>
      </c>
    </row>
    <row r="935" spans="1:34" x14ac:dyDescent="0.2">
      <c r="A935" s="347">
        <f t="shared" ca="1" si="412"/>
        <v>1E-4</v>
      </c>
      <c r="B935" s="304">
        <f t="shared" ca="1" si="413"/>
        <v>36.841500000001588</v>
      </c>
      <c r="D935" s="306">
        <f t="shared" ca="1" si="414"/>
        <v>-0.54780121353839173</v>
      </c>
      <c r="E935" s="307">
        <f t="shared" ca="1" si="415"/>
        <v>-0.50063676480414365</v>
      </c>
      <c r="F935" s="304">
        <f t="shared" ca="1" si="416"/>
        <v>0.74210736408399425</v>
      </c>
      <c r="G935" s="306">
        <f t="shared" ca="1" si="417"/>
        <v>6.1780851148589937</v>
      </c>
      <c r="H935" s="307">
        <f t="shared" ca="1" si="418"/>
        <v>-104.99169115319756</v>
      </c>
      <c r="I935" s="304">
        <f t="shared" ca="1" si="419"/>
        <v>105.17330434523232</v>
      </c>
      <c r="J935" s="306">
        <f t="shared" ca="1" si="420"/>
        <v>745.87074281998321</v>
      </c>
      <c r="K935" s="307">
        <f t="shared" ca="1" si="421"/>
        <v>-13.024816367603682</v>
      </c>
      <c r="L935" s="304">
        <f t="shared" ca="1" si="406"/>
        <v>745.98445750313283</v>
      </c>
      <c r="M935" s="306">
        <f t="shared" ca="1" si="422"/>
        <v>-1.5120205403359903</v>
      </c>
      <c r="N935" s="304">
        <f t="shared" ca="1" si="423"/>
        <v>-86.632395498342504</v>
      </c>
      <c r="P935" s="310">
        <f t="shared" ca="1" si="424"/>
        <v>23</v>
      </c>
      <c r="Q935" s="304">
        <f t="shared" ca="1" si="425"/>
        <v>0</v>
      </c>
      <c r="R935" s="306">
        <f t="shared" ca="1" si="426"/>
        <v>0</v>
      </c>
      <c r="S935" s="307">
        <f t="shared" ca="1" si="427"/>
        <v>2.9792999999999985</v>
      </c>
      <c r="T935" s="304">
        <f t="shared" ca="1" si="407"/>
        <v>29.226932999999988</v>
      </c>
      <c r="U935" s="311">
        <f t="shared" ca="1" si="408"/>
        <v>0</v>
      </c>
      <c r="V935" s="306">
        <f t="shared" ca="1" si="409"/>
        <v>1.226596579762943</v>
      </c>
      <c r="W935" s="304">
        <f t="shared" ca="1" si="410"/>
        <v>27.783416948606845</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0.46759303765487381</v>
      </c>
      <c r="AH935" s="304">
        <f t="shared" ca="1" si="434"/>
        <v>-9.3254667451216839</v>
      </c>
    </row>
    <row r="936" spans="1:34" x14ac:dyDescent="0.2">
      <c r="A936" s="347">
        <f t="shared" ca="1" si="412"/>
        <v>1E-4</v>
      </c>
      <c r="B936" s="304">
        <f t="shared" ca="1" si="413"/>
        <v>36.841600000001591</v>
      </c>
      <c r="D936" s="306">
        <f t="shared" ca="1" si="414"/>
        <v>-0.5477971750010453</v>
      </c>
      <c r="E936" s="307">
        <f t="shared" ca="1" si="415"/>
        <v>-0.50061841281925012</v>
      </c>
      <c r="F936" s="304">
        <f t="shared" ca="1" si="416"/>
        <v>0.74209200251235086</v>
      </c>
      <c r="G936" s="306">
        <f t="shared" ca="1" si="417"/>
        <v>6.1780303351414938</v>
      </c>
      <c r="H936" s="307">
        <f t="shared" ca="1" si="418"/>
        <v>-104.99174121503884</v>
      </c>
      <c r="I936" s="304">
        <f t="shared" ca="1" si="419"/>
        <v>105.17335110277514</v>
      </c>
      <c r="J936" s="306">
        <f t="shared" ca="1" si="420"/>
        <v>745.87074281998321</v>
      </c>
      <c r="K936" s="307">
        <f t="shared" ca="1" si="421"/>
        <v>-13.035315539222093</v>
      </c>
      <c r="L936" s="304">
        <f t="shared" ca="1" si="406"/>
        <v>745.98464089151366</v>
      </c>
      <c r="M936" s="306">
        <f t="shared" ca="1" si="422"/>
        <v>-1.512021088249065</v>
      </c>
      <c r="N936" s="304">
        <f t="shared" ca="1" si="423"/>
        <v>-86.632426891449214</v>
      </c>
      <c r="P936" s="310">
        <f t="shared" ca="1" si="424"/>
        <v>23</v>
      </c>
      <c r="Q936" s="304">
        <f t="shared" ca="1" si="425"/>
        <v>0</v>
      </c>
      <c r="R936" s="306">
        <f t="shared" ca="1" si="426"/>
        <v>0</v>
      </c>
      <c r="S936" s="307">
        <f t="shared" ca="1" si="427"/>
        <v>2.9792999999999985</v>
      </c>
      <c r="T936" s="304">
        <f t="shared" ca="1" si="407"/>
        <v>29.226932999999988</v>
      </c>
      <c r="U936" s="311">
        <f t="shared" ca="1" si="408"/>
        <v>0</v>
      </c>
      <c r="V936" s="306">
        <f t="shared" ca="1" si="409"/>
        <v>1.2265978675889655</v>
      </c>
      <c r="W936" s="304">
        <f t="shared" ca="1" si="410"/>
        <v>27.78347082264137</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0.46757527033727975</v>
      </c>
      <c r="AH936" s="304">
        <f t="shared" ca="1" si="434"/>
        <v>-9.3254848281834182</v>
      </c>
    </row>
    <row r="937" spans="1:34" x14ac:dyDescent="0.2">
      <c r="A937" s="347">
        <f t="shared" ca="1" si="412"/>
        <v>1E-4</v>
      </c>
      <c r="B937" s="304">
        <f t="shared" ca="1" si="413"/>
        <v>36.841700000001595</v>
      </c>
      <c r="D937" s="306">
        <f t="shared" ca="1" si="414"/>
        <v>-0.54779313647712358</v>
      </c>
      <c r="E937" s="307">
        <f t="shared" ca="1" si="415"/>
        <v>-0.50060006111745814</v>
      </c>
      <c r="F937" s="304">
        <f t="shared" ca="1" si="416"/>
        <v>0.74207664129943296</v>
      </c>
      <c r="G937" s="306">
        <f t="shared" ca="1" si="417"/>
        <v>6.177975555827846</v>
      </c>
      <c r="H937" s="307">
        <f t="shared" ca="1" si="418"/>
        <v>-104.99179127504496</v>
      </c>
      <c r="I937" s="304">
        <f t="shared" ca="1" si="419"/>
        <v>105.17339785854126</v>
      </c>
      <c r="J937" s="306">
        <f t="shared" ca="1" si="420"/>
        <v>745.87074281998321</v>
      </c>
      <c r="K937" s="307">
        <f t="shared" ca="1" si="421"/>
        <v>-13.045814715846598</v>
      </c>
      <c r="L937" s="304">
        <f t="shared" ca="1" si="406"/>
        <v>745.98482442770489</v>
      </c>
      <c r="M937" s="306">
        <f t="shared" ca="1" si="422"/>
        <v>-1.512021636156794</v>
      </c>
      <c r="N937" s="304">
        <f t="shared" ca="1" si="423"/>
        <v>-86.632458284249651</v>
      </c>
      <c r="P937" s="310">
        <f t="shared" ca="1" si="424"/>
        <v>23</v>
      </c>
      <c r="Q937" s="304">
        <f t="shared" ca="1" si="425"/>
        <v>0</v>
      </c>
      <c r="R937" s="306">
        <f t="shared" ca="1" si="426"/>
        <v>0</v>
      </c>
      <c r="S937" s="307">
        <f t="shared" ca="1" si="427"/>
        <v>2.9792999999999985</v>
      </c>
      <c r="T937" s="304">
        <f t="shared" ca="1" si="407"/>
        <v>29.226932999999988</v>
      </c>
      <c r="U937" s="311">
        <f t="shared" ca="1" si="408"/>
        <v>0</v>
      </c>
      <c r="V937" s="306">
        <f t="shared" ca="1" si="409"/>
        <v>1.2265991554169546</v>
      </c>
      <c r="W937" s="304">
        <f t="shared" ca="1" si="410"/>
        <v>27.783524695844598</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0.46755750329268864</v>
      </c>
      <c r="AH937" s="304">
        <f t="shared" ca="1" si="434"/>
        <v>-9.3255029109661276</v>
      </c>
    </row>
    <row r="938" spans="1:34" x14ac:dyDescent="0.2">
      <c r="A938" s="347">
        <f t="shared" ca="1" si="412"/>
        <v>1E-4</v>
      </c>
      <c r="B938" s="304">
        <f t="shared" ca="1" si="413"/>
        <v>36.841800000001598</v>
      </c>
      <c r="D938" s="306">
        <f t="shared" ca="1" si="414"/>
        <v>-0.54778909796663156</v>
      </c>
      <c r="E938" s="307">
        <f t="shared" ca="1" si="415"/>
        <v>-0.50058170969876947</v>
      </c>
      <c r="F938" s="304">
        <f t="shared" ca="1" si="416"/>
        <v>0.74206128044524666</v>
      </c>
      <c r="G938" s="306">
        <f t="shared" ca="1" si="417"/>
        <v>6.1779207769180493</v>
      </c>
      <c r="H938" s="307">
        <f t="shared" ca="1" si="418"/>
        <v>-104.99184133321593</v>
      </c>
      <c r="I938" s="304">
        <f t="shared" ca="1" si="419"/>
        <v>105.1734446125307</v>
      </c>
      <c r="J938" s="306">
        <f t="shared" ca="1" si="420"/>
        <v>745.87074281998321</v>
      </c>
      <c r="K938" s="307">
        <f t="shared" ca="1" si="421"/>
        <v>-13.056313897477011</v>
      </c>
      <c r="L938" s="304">
        <f t="shared" ca="1" si="406"/>
        <v>745.98500811170663</v>
      </c>
      <c r="M938" s="306">
        <f t="shared" ca="1" si="422"/>
        <v>-1.5120221840591779</v>
      </c>
      <c r="N938" s="304">
        <f t="shared" ca="1" si="423"/>
        <v>-86.63248967674383</v>
      </c>
      <c r="P938" s="310">
        <f t="shared" ca="1" si="424"/>
        <v>23</v>
      </c>
      <c r="Q938" s="304">
        <f t="shared" ca="1" si="425"/>
        <v>0</v>
      </c>
      <c r="R938" s="306">
        <f t="shared" ca="1" si="426"/>
        <v>0</v>
      </c>
      <c r="S938" s="307">
        <f t="shared" ca="1" si="427"/>
        <v>2.9792999999999985</v>
      </c>
      <c r="T938" s="304">
        <f t="shared" ca="1" si="407"/>
        <v>29.226932999999988</v>
      </c>
      <c r="U938" s="311">
        <f t="shared" ca="1" si="408"/>
        <v>0</v>
      </c>
      <c r="V938" s="306">
        <f t="shared" ca="1" si="409"/>
        <v>1.2266004432469111</v>
      </c>
      <c r="W938" s="304">
        <f t="shared" ca="1" si="410"/>
        <v>27.783578568216551</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0.46753973652110403</v>
      </c>
      <c r="AH938" s="304">
        <f t="shared" ca="1" si="434"/>
        <v>-9.3255209934698122</v>
      </c>
    </row>
    <row r="939" spans="1:34" x14ac:dyDescent="0.2">
      <c r="A939" s="347">
        <f t="shared" ca="1" si="412"/>
        <v>1E-4</v>
      </c>
      <c r="B939" s="304">
        <f t="shared" ca="1" si="413"/>
        <v>36.841900000001601</v>
      </c>
      <c r="D939" s="306">
        <f t="shared" ca="1" si="414"/>
        <v>-0.54778505946956402</v>
      </c>
      <c r="E939" s="307">
        <f t="shared" ca="1" si="415"/>
        <v>-0.50056335856317347</v>
      </c>
      <c r="F939" s="304">
        <f t="shared" ca="1" si="416"/>
        <v>0.74204591994978186</v>
      </c>
      <c r="G939" s="306">
        <f t="shared" ca="1" si="417"/>
        <v>6.177865998412102</v>
      </c>
      <c r="H939" s="307">
        <f t="shared" ca="1" si="418"/>
        <v>-104.99189138955178</v>
      </c>
      <c r="I939" s="304">
        <f t="shared" ca="1" si="419"/>
        <v>105.17349136474348</v>
      </c>
      <c r="J939" s="306">
        <f t="shared" ca="1" si="420"/>
        <v>745.87074281998321</v>
      </c>
      <c r="K939" s="307">
        <f t="shared" ca="1" si="421"/>
        <v>-13.06681308411315</v>
      </c>
      <c r="L939" s="304">
        <f t="shared" ca="1" si="406"/>
        <v>745.98519194351888</v>
      </c>
      <c r="M939" s="306">
        <f t="shared" ca="1" si="422"/>
        <v>-1.5120227319562163</v>
      </c>
      <c r="N939" s="304">
        <f t="shared" ca="1" si="423"/>
        <v>-86.632521068931737</v>
      </c>
      <c r="P939" s="310">
        <f t="shared" ca="1" si="424"/>
        <v>23</v>
      </c>
      <c r="Q939" s="304">
        <f t="shared" ca="1" si="425"/>
        <v>0</v>
      </c>
      <c r="R939" s="306">
        <f t="shared" ca="1" si="426"/>
        <v>0</v>
      </c>
      <c r="S939" s="307">
        <f t="shared" ca="1" si="427"/>
        <v>2.9792999999999985</v>
      </c>
      <c r="T939" s="304">
        <f t="shared" ca="1" si="407"/>
        <v>29.226932999999988</v>
      </c>
      <c r="U939" s="311">
        <f t="shared" ca="1" si="408"/>
        <v>0</v>
      </c>
      <c r="V939" s="306">
        <f t="shared" ca="1" si="409"/>
        <v>1.2266017310788346</v>
      </c>
      <c r="W939" s="304">
        <f t="shared" ca="1" si="410"/>
        <v>27.783632439757238</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0.4675219700225135</v>
      </c>
      <c r="AH939" s="304">
        <f t="shared" ca="1" si="434"/>
        <v>-9.3255390756944809</v>
      </c>
    </row>
    <row r="940" spans="1:34" x14ac:dyDescent="0.2">
      <c r="A940" s="347">
        <f t="shared" ca="1" si="412"/>
        <v>1E-4</v>
      </c>
      <c r="B940" s="304">
        <f t="shared" ca="1" si="413"/>
        <v>36.842000000001605</v>
      </c>
      <c r="D940" s="306">
        <f t="shared" ca="1" si="414"/>
        <v>-0.54778102098592618</v>
      </c>
      <c r="E940" s="307">
        <f t="shared" ca="1" si="415"/>
        <v>-0.50054500771067012</v>
      </c>
      <c r="F940" s="304">
        <f t="shared" ca="1" si="416"/>
        <v>0.74203055981304333</v>
      </c>
      <c r="G940" s="306">
        <f t="shared" ca="1" si="417"/>
        <v>6.1778112203100033</v>
      </c>
      <c r="H940" s="307">
        <f t="shared" ca="1" si="418"/>
        <v>-104.99194144405256</v>
      </c>
      <c r="I940" s="304">
        <f t="shared" ca="1" si="419"/>
        <v>105.17353811517965</v>
      </c>
      <c r="J940" s="306">
        <f t="shared" ca="1" si="420"/>
        <v>745.87074281998321</v>
      </c>
      <c r="K940" s="307">
        <f t="shared" ca="1" si="421"/>
        <v>-13.07731227575483</v>
      </c>
      <c r="L940" s="304">
        <f t="shared" ca="1" si="406"/>
        <v>745.98537592314176</v>
      </c>
      <c r="M940" s="306">
        <f t="shared" ca="1" si="422"/>
        <v>-1.5120232798479096</v>
      </c>
      <c r="N940" s="304">
        <f t="shared" ca="1" si="423"/>
        <v>-86.6325524608134</v>
      </c>
      <c r="P940" s="310">
        <f t="shared" ca="1" si="424"/>
        <v>23</v>
      </c>
      <c r="Q940" s="304">
        <f t="shared" ca="1" si="425"/>
        <v>0</v>
      </c>
      <c r="R940" s="306">
        <f t="shared" ca="1" si="426"/>
        <v>0</v>
      </c>
      <c r="S940" s="307">
        <f t="shared" ca="1" si="427"/>
        <v>2.9792999999999985</v>
      </c>
      <c r="T940" s="304">
        <f t="shared" ca="1" si="407"/>
        <v>29.226932999999988</v>
      </c>
      <c r="U940" s="311">
        <f t="shared" ca="1" si="408"/>
        <v>0</v>
      </c>
      <c r="V940" s="306">
        <f t="shared" ca="1" si="409"/>
        <v>1.2266030189127255</v>
      </c>
      <c r="W940" s="304">
        <f t="shared" ca="1" si="410"/>
        <v>27.783686310466674</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0.46750420379691882</v>
      </c>
      <c r="AH940" s="304">
        <f t="shared" ca="1" si="434"/>
        <v>-9.3255571576401337</v>
      </c>
    </row>
    <row r="941" spans="1:34" x14ac:dyDescent="0.2">
      <c r="A941" s="347">
        <f t="shared" ca="1" si="412"/>
        <v>1E-4</v>
      </c>
      <c r="B941" s="304">
        <f t="shared" ca="1" si="413"/>
        <v>36.842100000001608</v>
      </c>
      <c r="D941" s="306">
        <f t="shared" ca="1" si="414"/>
        <v>-0.54777698251571494</v>
      </c>
      <c r="E941" s="307">
        <f t="shared" ca="1" si="415"/>
        <v>-0.50052665714125055</v>
      </c>
      <c r="F941" s="304">
        <f t="shared" ca="1" si="416"/>
        <v>0.74201520003502408</v>
      </c>
      <c r="G941" s="306">
        <f t="shared" ca="1" si="417"/>
        <v>6.1777564426117522</v>
      </c>
      <c r="H941" s="307">
        <f t="shared" ca="1" si="418"/>
        <v>-104.99199149671827</v>
      </c>
      <c r="I941" s="304">
        <f t="shared" ca="1" si="419"/>
        <v>105.17358486383922</v>
      </c>
      <c r="J941" s="306">
        <f t="shared" ca="1" si="420"/>
        <v>745.87074281998321</v>
      </c>
      <c r="K941" s="307">
        <f t="shared" ca="1" si="421"/>
        <v>-13.087811472401869</v>
      </c>
      <c r="L941" s="304">
        <f t="shared" ca="1" si="406"/>
        <v>745.98556005057549</v>
      </c>
      <c r="M941" s="306">
        <f t="shared" ca="1" si="422"/>
        <v>-1.5120238277342579</v>
      </c>
      <c r="N941" s="304">
        <f t="shared" ca="1" si="423"/>
        <v>-86.632583852388805</v>
      </c>
      <c r="P941" s="310">
        <f t="shared" ca="1" si="424"/>
        <v>23</v>
      </c>
      <c r="Q941" s="304">
        <f t="shared" ca="1" si="425"/>
        <v>0</v>
      </c>
      <c r="R941" s="306">
        <f t="shared" ca="1" si="426"/>
        <v>0</v>
      </c>
      <c r="S941" s="307">
        <f t="shared" ca="1" si="427"/>
        <v>2.9792999999999985</v>
      </c>
      <c r="T941" s="304">
        <f t="shared" ca="1" si="407"/>
        <v>29.226932999999988</v>
      </c>
      <c r="U941" s="311">
        <f t="shared" ca="1" si="408"/>
        <v>0</v>
      </c>
      <c r="V941" s="306">
        <f t="shared" ca="1" si="409"/>
        <v>1.2266043067485826</v>
      </c>
      <c r="W941" s="304">
        <f t="shared" ca="1" si="410"/>
        <v>27.783740180344846</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0.46748643784431287</v>
      </c>
      <c r="AH941" s="304">
        <f t="shared" ca="1" si="434"/>
        <v>-9.3255752393067795</v>
      </c>
    </row>
    <row r="942" spans="1:34" x14ac:dyDescent="0.2">
      <c r="A942" s="347">
        <f t="shared" ca="1" si="412"/>
        <v>1E-4</v>
      </c>
      <c r="B942" s="304">
        <f t="shared" ca="1" si="413"/>
        <v>36.842200000001611</v>
      </c>
      <c r="D942" s="306">
        <f t="shared" ca="1" si="414"/>
        <v>-0.54777294405893084</v>
      </c>
      <c r="E942" s="307">
        <f t="shared" ca="1" si="415"/>
        <v>-0.50050830685492187</v>
      </c>
      <c r="F942" s="304">
        <f t="shared" ca="1" si="416"/>
        <v>0.74199984061573032</v>
      </c>
      <c r="G942" s="306">
        <f t="shared" ca="1" si="417"/>
        <v>6.177701665317346</v>
      </c>
      <c r="H942" s="307">
        <f t="shared" ca="1" si="418"/>
        <v>-104.99204154754895</v>
      </c>
      <c r="I942" s="304">
        <f t="shared" ca="1" si="419"/>
        <v>105.17363161072223</v>
      </c>
      <c r="J942" s="306">
        <f t="shared" ca="1" si="420"/>
        <v>745.87074281998321</v>
      </c>
      <c r="K942" s="307">
        <f t="shared" ca="1" si="421"/>
        <v>-13.098310674054082</v>
      </c>
      <c r="L942" s="304">
        <f t="shared" ca="1" si="406"/>
        <v>745.98574432581995</v>
      </c>
      <c r="M942" s="306">
        <f t="shared" ca="1" si="422"/>
        <v>-1.5120243756152612</v>
      </c>
      <c r="N942" s="304">
        <f t="shared" ca="1" si="423"/>
        <v>-86.632615243657966</v>
      </c>
      <c r="P942" s="310">
        <f t="shared" ca="1" si="424"/>
        <v>23</v>
      </c>
      <c r="Q942" s="304">
        <f t="shared" ca="1" si="425"/>
        <v>0</v>
      </c>
      <c r="R942" s="306">
        <f t="shared" ca="1" si="426"/>
        <v>0</v>
      </c>
      <c r="S942" s="307">
        <f t="shared" ca="1" si="427"/>
        <v>2.9792999999999985</v>
      </c>
      <c r="T942" s="304">
        <f t="shared" ca="1" si="407"/>
        <v>29.226932999999988</v>
      </c>
      <c r="U942" s="311">
        <f t="shared" ca="1" si="408"/>
        <v>0</v>
      </c>
      <c r="V942" s="306">
        <f t="shared" ca="1" si="409"/>
        <v>1.2266055945864069</v>
      </c>
      <c r="W942" s="304">
        <f t="shared" ca="1" si="410"/>
        <v>27.783794049391791</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0.467468672164701</v>
      </c>
      <c r="AH942" s="304">
        <f t="shared" ca="1" si="434"/>
        <v>-9.325593320694411</v>
      </c>
    </row>
    <row r="943" spans="1:34" x14ac:dyDescent="0.2">
      <c r="A943" s="347">
        <f t="shared" ca="1" si="412"/>
        <v>1E-4</v>
      </c>
      <c r="B943" s="304">
        <f t="shared" ca="1" si="413"/>
        <v>36.842300000001615</v>
      </c>
      <c r="D943" s="306">
        <f t="shared" ca="1" si="414"/>
        <v>-0.54776890561557534</v>
      </c>
      <c r="E943" s="307">
        <f t="shared" ca="1" si="415"/>
        <v>-0.50048995685166986</v>
      </c>
      <c r="F943" s="304">
        <f t="shared" ca="1" si="416"/>
        <v>0.74198448155515451</v>
      </c>
      <c r="G943" s="306">
        <f t="shared" ca="1" si="417"/>
        <v>6.1776468884267848</v>
      </c>
      <c r="H943" s="307">
        <f t="shared" ca="1" si="418"/>
        <v>-104.99209159654464</v>
      </c>
      <c r="I943" s="304">
        <f t="shared" ca="1" si="419"/>
        <v>105.1736783558287</v>
      </c>
      <c r="J943" s="306">
        <f t="shared" ca="1" si="420"/>
        <v>745.87074281998321</v>
      </c>
      <c r="K943" s="307">
        <f t="shared" ca="1" si="421"/>
        <v>-13.108809880711286</v>
      </c>
      <c r="L943" s="304">
        <f t="shared" ca="1" si="406"/>
        <v>745.98592874887538</v>
      </c>
      <c r="M943" s="306">
        <f t="shared" ca="1" si="422"/>
        <v>-1.5120249234909191</v>
      </c>
      <c r="N943" s="304">
        <f t="shared" ca="1" si="423"/>
        <v>-86.632646634620869</v>
      </c>
      <c r="P943" s="310">
        <f t="shared" ca="1" si="424"/>
        <v>23</v>
      </c>
      <c r="Q943" s="304">
        <f t="shared" ca="1" si="425"/>
        <v>0</v>
      </c>
      <c r="R943" s="306">
        <f t="shared" ca="1" si="426"/>
        <v>0</v>
      </c>
      <c r="S943" s="307">
        <f t="shared" ca="1" si="427"/>
        <v>2.9792999999999985</v>
      </c>
      <c r="T943" s="304">
        <f t="shared" ca="1" si="407"/>
        <v>29.226932999999988</v>
      </c>
      <c r="U943" s="311">
        <f t="shared" ca="1" si="408"/>
        <v>0</v>
      </c>
      <c r="V943" s="306">
        <f t="shared" ca="1" si="409"/>
        <v>1.2266068824261986</v>
      </c>
      <c r="W943" s="304">
        <f t="shared" ca="1" si="410"/>
        <v>27.783847917607517</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0.467450906758069</v>
      </c>
      <c r="AH943" s="304">
        <f t="shared" ca="1" si="434"/>
        <v>-9.3256114018030427</v>
      </c>
    </row>
    <row r="944" spans="1:34" x14ac:dyDescent="0.2">
      <c r="A944" s="347">
        <f t="shared" ca="1" si="412"/>
        <v>1E-4</v>
      </c>
      <c r="B944" s="304">
        <f t="shared" ca="1" si="413"/>
        <v>36.842400000001618</v>
      </c>
      <c r="D944" s="306">
        <f t="shared" ca="1" si="414"/>
        <v>-0.54776486718565132</v>
      </c>
      <c r="E944" s="307">
        <f t="shared" ca="1" si="415"/>
        <v>-0.50047160713149452</v>
      </c>
      <c r="F944" s="304">
        <f t="shared" ca="1" si="416"/>
        <v>0.74196912285329986</v>
      </c>
      <c r="G944" s="306">
        <f t="shared" ca="1" si="417"/>
        <v>6.1775921119400659</v>
      </c>
      <c r="H944" s="307">
        <f t="shared" ca="1" si="418"/>
        <v>-104.99214164370535</v>
      </c>
      <c r="I944" s="304">
        <f t="shared" ca="1" si="419"/>
        <v>105.17372509915864</v>
      </c>
      <c r="J944" s="306">
        <f t="shared" ca="1" si="420"/>
        <v>745.87074281998321</v>
      </c>
      <c r="K944" s="307">
        <f t="shared" ca="1" si="421"/>
        <v>-13.119309092373298</v>
      </c>
      <c r="L944" s="304">
        <f t="shared" ca="1" si="406"/>
        <v>745.98611331974189</v>
      </c>
      <c r="M944" s="306">
        <f t="shared" ca="1" si="422"/>
        <v>-1.5120254713612324</v>
      </c>
      <c r="N944" s="304">
        <f t="shared" ca="1" si="423"/>
        <v>-86.632678025277542</v>
      </c>
      <c r="P944" s="310">
        <f t="shared" ca="1" si="424"/>
        <v>23</v>
      </c>
      <c r="Q944" s="304">
        <f t="shared" ca="1" si="425"/>
        <v>0</v>
      </c>
      <c r="R944" s="306">
        <f t="shared" ca="1" si="426"/>
        <v>0</v>
      </c>
      <c r="S944" s="307">
        <f t="shared" ca="1" si="427"/>
        <v>2.9792999999999985</v>
      </c>
      <c r="T944" s="304">
        <f t="shared" ca="1" si="407"/>
        <v>29.226932999999988</v>
      </c>
      <c r="U944" s="311">
        <f t="shared" ca="1" si="408"/>
        <v>0</v>
      </c>
      <c r="V944" s="306">
        <f t="shared" ca="1" si="409"/>
        <v>1.2266081702679568</v>
      </c>
      <c r="W944" s="304">
        <f t="shared" ca="1" si="410"/>
        <v>27.783901784992011</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0.46743314162441507</v>
      </c>
      <c r="AH944" s="304">
        <f t="shared" ca="1" si="434"/>
        <v>-9.3256294826326762</v>
      </c>
    </row>
    <row r="945" spans="1:34" x14ac:dyDescent="0.2">
      <c r="A945" s="347">
        <f t="shared" ca="1" si="412"/>
        <v>1E-4</v>
      </c>
      <c r="B945" s="304">
        <f t="shared" ca="1" si="413"/>
        <v>36.842500000001621</v>
      </c>
      <c r="D945" s="306">
        <f t="shared" ca="1" si="414"/>
        <v>-0.54776082876915311</v>
      </c>
      <c r="E945" s="307">
        <f t="shared" ca="1" si="415"/>
        <v>-0.50045325769439764</v>
      </c>
      <c r="F945" s="304">
        <f t="shared" ca="1" si="416"/>
        <v>0.74195376451016448</v>
      </c>
      <c r="G945" s="306">
        <f t="shared" ca="1" si="417"/>
        <v>6.1775373358571892</v>
      </c>
      <c r="H945" s="307">
        <f t="shared" ca="1" si="418"/>
        <v>-104.99219168903112</v>
      </c>
      <c r="I945" s="304">
        <f t="shared" ca="1" si="419"/>
        <v>105.17377184071209</v>
      </c>
      <c r="J945" s="306">
        <f t="shared" ca="1" si="420"/>
        <v>745.87074281998321</v>
      </c>
      <c r="K945" s="307">
        <f t="shared" ca="1" si="421"/>
        <v>-13.129808309039934</v>
      </c>
      <c r="L945" s="304">
        <f t="shared" ca="1" si="406"/>
        <v>745.98629803841948</v>
      </c>
      <c r="M945" s="306">
        <f t="shared" ca="1" si="422"/>
        <v>-1.5120260192262007</v>
      </c>
      <c r="N945" s="304">
        <f t="shared" ca="1" si="423"/>
        <v>-86.632709415627971</v>
      </c>
      <c r="P945" s="310">
        <f t="shared" ca="1" si="424"/>
        <v>23</v>
      </c>
      <c r="Q945" s="304">
        <f t="shared" ca="1" si="425"/>
        <v>0</v>
      </c>
      <c r="R945" s="306">
        <f t="shared" ca="1" si="426"/>
        <v>0</v>
      </c>
      <c r="S945" s="307">
        <f t="shared" ca="1" si="427"/>
        <v>2.9792999999999985</v>
      </c>
      <c r="T945" s="304">
        <f t="shared" ca="1" si="407"/>
        <v>29.226932999999988</v>
      </c>
      <c r="U945" s="311">
        <f t="shared" ca="1" si="408"/>
        <v>0</v>
      </c>
      <c r="V945" s="306">
        <f t="shared" ca="1" si="409"/>
        <v>1.226609458111682</v>
      </c>
      <c r="W945" s="304">
        <f t="shared" ca="1" si="410"/>
        <v>27.783955651545295</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0.46741537676374456</v>
      </c>
      <c r="AH945" s="304">
        <f t="shared" ca="1" si="434"/>
        <v>-9.3256475631833062</v>
      </c>
    </row>
    <row r="946" spans="1:34" x14ac:dyDescent="0.2">
      <c r="A946" s="347">
        <f t="shared" ca="1" si="412"/>
        <v>1E-4</v>
      </c>
      <c r="B946" s="304">
        <f t="shared" ca="1" si="413"/>
        <v>36.842600000001624</v>
      </c>
      <c r="D946" s="306">
        <f t="shared" ca="1" si="414"/>
        <v>-0.54775679036608615</v>
      </c>
      <c r="E946" s="307">
        <f t="shared" ca="1" si="415"/>
        <v>-0.50043490854037209</v>
      </c>
      <c r="F946" s="304">
        <f t="shared" ca="1" si="416"/>
        <v>0.74193840652574861</v>
      </c>
      <c r="G946" s="306">
        <f t="shared" ca="1" si="417"/>
        <v>6.1774825601781522</v>
      </c>
      <c r="H946" s="307">
        <f t="shared" ca="1" si="418"/>
        <v>-104.99224173252198</v>
      </c>
      <c r="I946" s="304">
        <f t="shared" ca="1" si="419"/>
        <v>105.1738185804891</v>
      </c>
      <c r="J946" s="306">
        <f t="shared" ca="1" si="420"/>
        <v>745.87074281998321</v>
      </c>
      <c r="K946" s="307">
        <f t="shared" ca="1" si="421"/>
        <v>-13.140307530711011</v>
      </c>
      <c r="L946" s="304">
        <f t="shared" ca="1" si="406"/>
        <v>745.98648290490848</v>
      </c>
      <c r="M946" s="306">
        <f t="shared" ca="1" si="422"/>
        <v>-1.5120265670858242</v>
      </c>
      <c r="N946" s="304">
        <f t="shared" ca="1" si="423"/>
        <v>-86.632740805672157</v>
      </c>
      <c r="P946" s="310">
        <f t="shared" ca="1" si="424"/>
        <v>23</v>
      </c>
      <c r="Q946" s="304">
        <f t="shared" ca="1" si="425"/>
        <v>0</v>
      </c>
      <c r="R946" s="306">
        <f t="shared" ca="1" si="426"/>
        <v>0</v>
      </c>
      <c r="S946" s="307">
        <f t="shared" ca="1" si="427"/>
        <v>2.9792999999999985</v>
      </c>
      <c r="T946" s="304">
        <f t="shared" ca="1" si="407"/>
        <v>29.226932999999988</v>
      </c>
      <c r="U946" s="311">
        <f t="shared" ca="1" si="408"/>
        <v>0</v>
      </c>
      <c r="V946" s="306">
        <f t="shared" ca="1" si="409"/>
        <v>1.2266107459573738</v>
      </c>
      <c r="W946" s="304">
        <f t="shared" ca="1" si="410"/>
        <v>27.784009517267382</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0.46739761217605214</v>
      </c>
      <c r="AH946" s="304">
        <f t="shared" ca="1" si="434"/>
        <v>-9.3256656434549416</v>
      </c>
    </row>
    <row r="947" spans="1:34" x14ac:dyDescent="0.2">
      <c r="A947" s="347">
        <f t="shared" ca="1" si="412"/>
        <v>1E-4</v>
      </c>
      <c r="B947" s="304">
        <f t="shared" ca="1" si="413"/>
        <v>36.842700000001628</v>
      </c>
      <c r="D947" s="306">
        <f t="shared" ca="1" si="414"/>
        <v>-0.54775275197644935</v>
      </c>
      <c r="E947" s="307">
        <f t="shared" ca="1" si="415"/>
        <v>-0.50041655966941434</v>
      </c>
      <c r="F947" s="304">
        <f t="shared" ca="1" si="416"/>
        <v>0.74192304890005012</v>
      </c>
      <c r="G947" s="306">
        <f t="shared" ca="1" si="417"/>
        <v>6.1774277849029549</v>
      </c>
      <c r="H947" s="307">
        <f t="shared" ca="1" si="418"/>
        <v>-104.99229177417794</v>
      </c>
      <c r="I947" s="304">
        <f t="shared" ca="1" si="419"/>
        <v>105.17386531848967</v>
      </c>
      <c r="J947" s="306">
        <f t="shared" ca="1" si="420"/>
        <v>745.87074281998321</v>
      </c>
      <c r="K947" s="307">
        <f t="shared" ca="1" si="421"/>
        <v>-13.150806757386347</v>
      </c>
      <c r="L947" s="304">
        <f t="shared" ca="1" si="406"/>
        <v>745.98666791920868</v>
      </c>
      <c r="M947" s="306">
        <f t="shared" ca="1" si="422"/>
        <v>-1.512027114940103</v>
      </c>
      <c r="N947" s="304">
        <f t="shared" ca="1" si="423"/>
        <v>-86.632772195410126</v>
      </c>
      <c r="P947" s="310">
        <f t="shared" ca="1" si="424"/>
        <v>23</v>
      </c>
      <c r="Q947" s="304">
        <f t="shared" ca="1" si="425"/>
        <v>0</v>
      </c>
      <c r="R947" s="306">
        <f t="shared" ca="1" si="426"/>
        <v>0</v>
      </c>
      <c r="S947" s="307">
        <f t="shared" ca="1" si="427"/>
        <v>2.9792999999999985</v>
      </c>
      <c r="T947" s="304">
        <f t="shared" ca="1" si="407"/>
        <v>29.226932999999988</v>
      </c>
      <c r="U947" s="311">
        <f t="shared" ca="1" si="408"/>
        <v>0</v>
      </c>
      <c r="V947" s="306">
        <f t="shared" ca="1" si="409"/>
        <v>1.2266120338050326</v>
      </c>
      <c r="W947" s="304">
        <f t="shared" ca="1" si="410"/>
        <v>27.78406338215828</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0.46737984786132714</v>
      </c>
      <c r="AH947" s="304">
        <f t="shared" ca="1" si="434"/>
        <v>-9.3256837234475878</v>
      </c>
    </row>
    <row r="948" spans="1:34" x14ac:dyDescent="0.2">
      <c r="A948" s="347">
        <f t="shared" ca="1" si="412"/>
        <v>1E-4</v>
      </c>
      <c r="B948" s="304">
        <f t="shared" ca="1" si="413"/>
        <v>36.842800000001631</v>
      </c>
      <c r="D948" s="306">
        <f t="shared" ca="1" si="414"/>
        <v>-0.54774871360024147</v>
      </c>
      <c r="E948" s="307">
        <f t="shared" ca="1" si="415"/>
        <v>-0.50039821108152083</v>
      </c>
      <c r="F948" s="304">
        <f t="shared" ca="1" si="416"/>
        <v>0.74190769163306669</v>
      </c>
      <c r="G948" s="306">
        <f t="shared" ca="1" si="417"/>
        <v>6.1773730100315944</v>
      </c>
      <c r="H948" s="307">
        <f t="shared" ca="1" si="418"/>
        <v>-104.99234181399905</v>
      </c>
      <c r="I948" s="304">
        <f t="shared" ca="1" si="419"/>
        <v>105.17391205471384</v>
      </c>
      <c r="J948" s="306">
        <f t="shared" ca="1" si="420"/>
        <v>745.87074281998321</v>
      </c>
      <c r="K948" s="307">
        <f t="shared" ca="1" si="421"/>
        <v>-13.161305989065756</v>
      </c>
      <c r="L948" s="304">
        <f t="shared" ca="1" si="406"/>
        <v>745.98685308132031</v>
      </c>
      <c r="M948" s="306">
        <f t="shared" ca="1" si="422"/>
        <v>-1.512027662789037</v>
      </c>
      <c r="N948" s="304">
        <f t="shared" ca="1" si="423"/>
        <v>-86.632803584841852</v>
      </c>
      <c r="P948" s="310">
        <f t="shared" ca="1" si="424"/>
        <v>23</v>
      </c>
      <c r="Q948" s="304">
        <f t="shared" ca="1" si="425"/>
        <v>0</v>
      </c>
      <c r="R948" s="306">
        <f t="shared" ca="1" si="426"/>
        <v>0</v>
      </c>
      <c r="S948" s="307">
        <f t="shared" ca="1" si="427"/>
        <v>2.9792999999999985</v>
      </c>
      <c r="T948" s="304">
        <f t="shared" ca="1" si="407"/>
        <v>29.226932999999988</v>
      </c>
      <c r="U948" s="311">
        <f t="shared" ca="1" si="408"/>
        <v>0</v>
      </c>
      <c r="V948" s="306">
        <f t="shared" ca="1" si="409"/>
        <v>1.2266133216546584</v>
      </c>
      <c r="W948" s="304">
        <f t="shared" ca="1" si="410"/>
        <v>27.784117246218003</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0.46736208381957489</v>
      </c>
      <c r="AH948" s="304">
        <f t="shared" ca="1" si="434"/>
        <v>-9.3257018031612446</v>
      </c>
    </row>
    <row r="949" spans="1:34" x14ac:dyDescent="0.2">
      <c r="A949" s="347">
        <f t="shared" ca="1" si="412"/>
        <v>1E-4</v>
      </c>
      <c r="B949" s="304">
        <f t="shared" ca="1" si="413"/>
        <v>36.842900000001634</v>
      </c>
      <c r="D949" s="306">
        <f t="shared" ca="1" si="414"/>
        <v>-0.54774467523746562</v>
      </c>
      <c r="E949" s="307">
        <f t="shared" ca="1" si="415"/>
        <v>-0.500379862776688</v>
      </c>
      <c r="F949" s="304">
        <f t="shared" ca="1" si="416"/>
        <v>0.74189233472479943</v>
      </c>
      <c r="G949" s="306">
        <f t="shared" ca="1" si="417"/>
        <v>6.177318235564071</v>
      </c>
      <c r="H949" s="307">
        <f t="shared" ca="1" si="418"/>
        <v>-104.99239185198533</v>
      </c>
      <c r="I949" s="304">
        <f t="shared" ca="1" si="419"/>
        <v>105.17395878916163</v>
      </c>
      <c r="J949" s="306">
        <f t="shared" ca="1" si="420"/>
        <v>745.87074281998321</v>
      </c>
      <c r="K949" s="307">
        <f t="shared" ca="1" si="421"/>
        <v>-13.171805225749056</v>
      </c>
      <c r="L949" s="304">
        <f t="shared" ca="1" si="406"/>
        <v>745.98703839124357</v>
      </c>
      <c r="M949" s="306">
        <f t="shared" ca="1" si="422"/>
        <v>-1.5120282106326264</v>
      </c>
      <c r="N949" s="304">
        <f t="shared" ca="1" si="423"/>
        <v>-86.632834973967363</v>
      </c>
      <c r="P949" s="310">
        <f t="shared" ca="1" si="424"/>
        <v>23</v>
      </c>
      <c r="Q949" s="304">
        <f t="shared" ca="1" si="425"/>
        <v>0</v>
      </c>
      <c r="R949" s="306">
        <f t="shared" ca="1" si="426"/>
        <v>0</v>
      </c>
      <c r="S949" s="307">
        <f t="shared" ca="1" si="427"/>
        <v>2.9792999999999985</v>
      </c>
      <c r="T949" s="304">
        <f t="shared" ca="1" si="407"/>
        <v>29.226932999999988</v>
      </c>
      <c r="U949" s="311">
        <f t="shared" ca="1" si="408"/>
        <v>0</v>
      </c>
      <c r="V949" s="306">
        <f t="shared" ca="1" si="409"/>
        <v>1.2266146095062509</v>
      </c>
      <c r="W949" s="304">
        <f t="shared" ca="1" si="410"/>
        <v>27.784171109446554</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0.46734432005078652</v>
      </c>
      <c r="AH949" s="304">
        <f t="shared" ca="1" si="434"/>
        <v>-9.3257198825959176</v>
      </c>
    </row>
    <row r="950" spans="1:34" x14ac:dyDescent="0.2">
      <c r="A950" s="347">
        <f t="shared" ca="1" si="412"/>
        <v>1E-4</v>
      </c>
      <c r="B950" s="304">
        <f t="shared" ca="1" si="413"/>
        <v>36.843000000001638</v>
      </c>
      <c r="D950" s="306">
        <f t="shared" ca="1" si="414"/>
        <v>-0.54774063688812047</v>
      </c>
      <c r="E950" s="307">
        <f t="shared" ca="1" si="415"/>
        <v>-0.50036151475491231</v>
      </c>
      <c r="F950" s="304">
        <f t="shared" ca="1" si="416"/>
        <v>0.74187697817524578</v>
      </c>
      <c r="G950" s="306">
        <f t="shared" ca="1" si="417"/>
        <v>6.1772634615003819</v>
      </c>
      <c r="H950" s="307">
        <f t="shared" ca="1" si="418"/>
        <v>-104.99244188813681</v>
      </c>
      <c r="I950" s="304">
        <f t="shared" ca="1" si="419"/>
        <v>105.17400552183307</v>
      </c>
      <c r="J950" s="306">
        <f t="shared" ca="1" si="420"/>
        <v>745.87074281998321</v>
      </c>
      <c r="K950" s="307">
        <f t="shared" ca="1" si="421"/>
        <v>-13.182304467436062</v>
      </c>
      <c r="L950" s="304">
        <f t="shared" ca="1" si="406"/>
        <v>745.98722384897837</v>
      </c>
      <c r="M950" s="306">
        <f t="shared" ca="1" si="422"/>
        <v>-1.5120287584708711</v>
      </c>
      <c r="N950" s="304">
        <f t="shared" ca="1" si="423"/>
        <v>-86.632866362786643</v>
      </c>
      <c r="P950" s="310">
        <f t="shared" ca="1" si="424"/>
        <v>23</v>
      </c>
      <c r="Q950" s="304">
        <f t="shared" ca="1" si="425"/>
        <v>0</v>
      </c>
      <c r="R950" s="306">
        <f t="shared" ca="1" si="426"/>
        <v>0</v>
      </c>
      <c r="S950" s="307">
        <f t="shared" ca="1" si="427"/>
        <v>2.9792999999999985</v>
      </c>
      <c r="T950" s="304">
        <f t="shared" ca="1" si="407"/>
        <v>29.226932999999988</v>
      </c>
      <c r="U950" s="311">
        <f t="shared" ca="1" si="408"/>
        <v>0</v>
      </c>
      <c r="V950" s="306">
        <f t="shared" ca="1" si="409"/>
        <v>1.2266158973598102</v>
      </c>
      <c r="W950" s="304">
        <f t="shared" ca="1" si="410"/>
        <v>27.784224971843955</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0.4673265565549638</v>
      </c>
      <c r="AH950" s="304">
        <f t="shared" ca="1" si="434"/>
        <v>-9.3257379617516083</v>
      </c>
    </row>
    <row r="951" spans="1:34" x14ac:dyDescent="0.2">
      <c r="A951" s="347">
        <f t="shared" ca="1" si="412"/>
        <v>1E-4</v>
      </c>
      <c r="B951" s="304">
        <f t="shared" ca="1" si="413"/>
        <v>36.843100000001641</v>
      </c>
      <c r="D951" s="306">
        <f t="shared" ca="1" si="414"/>
        <v>-0.54773659855220747</v>
      </c>
      <c r="E951" s="307">
        <f t="shared" ca="1" si="415"/>
        <v>-0.50034316701618842</v>
      </c>
      <c r="F951" s="304">
        <f t="shared" ca="1" si="416"/>
        <v>0.74186162198440453</v>
      </c>
      <c r="G951" s="306">
        <f t="shared" ca="1" si="417"/>
        <v>6.177208687840527</v>
      </c>
      <c r="H951" s="307">
        <f t="shared" ca="1" si="418"/>
        <v>-104.99249192245351</v>
      </c>
      <c r="I951" s="304">
        <f t="shared" ca="1" si="419"/>
        <v>105.17405225272819</v>
      </c>
      <c r="J951" s="306">
        <f t="shared" ca="1" si="420"/>
        <v>745.87074281998321</v>
      </c>
      <c r="K951" s="307">
        <f t="shared" ca="1" si="421"/>
        <v>-13.19280371412659</v>
      </c>
      <c r="L951" s="304">
        <f t="shared" ca="1" si="406"/>
        <v>745.98740945452494</v>
      </c>
      <c r="M951" s="306">
        <f t="shared" ca="1" si="422"/>
        <v>-1.5120293063037715</v>
      </c>
      <c r="N951" s="304">
        <f t="shared" ca="1" si="423"/>
        <v>-86.632897751299708</v>
      </c>
      <c r="P951" s="310">
        <f t="shared" ca="1" si="424"/>
        <v>23</v>
      </c>
      <c r="Q951" s="304">
        <f t="shared" ca="1" si="425"/>
        <v>0</v>
      </c>
      <c r="R951" s="306">
        <f t="shared" ca="1" si="426"/>
        <v>0</v>
      </c>
      <c r="S951" s="307">
        <f t="shared" ca="1" si="427"/>
        <v>2.9792999999999985</v>
      </c>
      <c r="T951" s="304">
        <f t="shared" ca="1" si="407"/>
        <v>29.226932999999988</v>
      </c>
      <c r="U951" s="311">
        <f t="shared" ca="1" si="408"/>
        <v>0</v>
      </c>
      <c r="V951" s="306">
        <f t="shared" ca="1" si="409"/>
        <v>1.2266171852153362</v>
      </c>
      <c r="W951" s="304">
        <f t="shared" ca="1" si="410"/>
        <v>27.784278833410195</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0.46730879333209252</v>
      </c>
      <c r="AH951" s="304">
        <f t="shared" ca="1" si="434"/>
        <v>-9.3257560406283257</v>
      </c>
    </row>
    <row r="952" spans="1:34" x14ac:dyDescent="0.2">
      <c r="A952" s="347">
        <f t="shared" ca="1" si="412"/>
        <v>1E-4</v>
      </c>
      <c r="B952" s="304">
        <f t="shared" ca="1" si="413"/>
        <v>36.843200000001644</v>
      </c>
      <c r="D952" s="306">
        <f t="shared" ca="1" si="414"/>
        <v>-0.54773256022972472</v>
      </c>
      <c r="E952" s="307">
        <f t="shared" ca="1" si="415"/>
        <v>-0.50032481956052166</v>
      </c>
      <c r="F952" s="304">
        <f t="shared" ca="1" si="416"/>
        <v>0.74184626615227878</v>
      </c>
      <c r="G952" s="306">
        <f t="shared" ca="1" si="417"/>
        <v>6.1771539145845038</v>
      </c>
      <c r="H952" s="307">
        <f t="shared" ca="1" si="418"/>
        <v>-104.99254195493546</v>
      </c>
      <c r="I952" s="304">
        <f t="shared" ca="1" si="419"/>
        <v>105.174098981847</v>
      </c>
      <c r="J952" s="306">
        <f t="shared" ca="1" si="420"/>
        <v>745.87074281998321</v>
      </c>
      <c r="K952" s="307">
        <f t="shared" ca="1" si="421"/>
        <v>-13.203302965820459</v>
      </c>
      <c r="L952" s="304">
        <f t="shared" ca="1" si="406"/>
        <v>745.98759520788326</v>
      </c>
      <c r="M952" s="306">
        <f t="shared" ca="1" si="422"/>
        <v>-1.5120298541313275</v>
      </c>
      <c r="N952" s="304">
        <f t="shared" ca="1" si="423"/>
        <v>-86.632929139506572</v>
      </c>
      <c r="P952" s="310">
        <f t="shared" ca="1" si="424"/>
        <v>23</v>
      </c>
      <c r="Q952" s="304">
        <f t="shared" ca="1" si="425"/>
        <v>0</v>
      </c>
      <c r="R952" s="306">
        <f t="shared" ca="1" si="426"/>
        <v>0</v>
      </c>
      <c r="S952" s="307">
        <f t="shared" ca="1" si="427"/>
        <v>2.9792999999999985</v>
      </c>
      <c r="T952" s="304">
        <f t="shared" ca="1" si="407"/>
        <v>29.226932999999988</v>
      </c>
      <c r="U952" s="311">
        <f t="shared" ca="1" si="408"/>
        <v>0</v>
      </c>
      <c r="V952" s="306">
        <f t="shared" ca="1" si="409"/>
        <v>1.2266184730728291</v>
      </c>
      <c r="W952" s="304">
        <f t="shared" ca="1" si="410"/>
        <v>27.784332694145295</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0.46729103038218511</v>
      </c>
      <c r="AH952" s="304">
        <f t="shared" ca="1" si="434"/>
        <v>-9.3257741192260628</v>
      </c>
    </row>
    <row r="953" spans="1:34" x14ac:dyDescent="0.2">
      <c r="A953" s="347">
        <f t="shared" ca="1" si="412"/>
        <v>1E-4</v>
      </c>
      <c r="B953" s="304">
        <f t="shared" ca="1" si="413"/>
        <v>36.843300000001648</v>
      </c>
      <c r="D953" s="306">
        <f t="shared" ca="1" si="414"/>
        <v>-0.54772852192067367</v>
      </c>
      <c r="E953" s="307">
        <f t="shared" ca="1" si="415"/>
        <v>-0.50030647238790138</v>
      </c>
      <c r="F953" s="304">
        <f t="shared" ca="1" si="416"/>
        <v>0.74183091067886342</v>
      </c>
      <c r="G953" s="306">
        <f t="shared" ca="1" si="417"/>
        <v>6.1770991417323113</v>
      </c>
      <c r="H953" s="307">
        <f t="shared" ca="1" si="418"/>
        <v>-104.99259198558271</v>
      </c>
      <c r="I953" s="304">
        <f t="shared" ca="1" si="419"/>
        <v>105.17414570918956</v>
      </c>
      <c r="J953" s="306">
        <f t="shared" ca="1" si="420"/>
        <v>745.87074281998321</v>
      </c>
      <c r="K953" s="307">
        <f t="shared" ca="1" si="421"/>
        <v>-13.213802222517485</v>
      </c>
      <c r="L953" s="304">
        <f t="shared" ca="1" si="406"/>
        <v>745.98778110905369</v>
      </c>
      <c r="M953" s="306">
        <f t="shared" ca="1" si="422"/>
        <v>-1.5120304019535391</v>
      </c>
      <c r="N953" s="304">
        <f t="shared" ca="1" si="423"/>
        <v>-86.632960527407221</v>
      </c>
      <c r="P953" s="310">
        <f t="shared" ca="1" si="424"/>
        <v>23</v>
      </c>
      <c r="Q953" s="304">
        <f t="shared" ca="1" si="425"/>
        <v>0</v>
      </c>
      <c r="R953" s="306">
        <f t="shared" ca="1" si="426"/>
        <v>0</v>
      </c>
      <c r="S953" s="307">
        <f t="shared" ca="1" si="427"/>
        <v>2.9792999999999985</v>
      </c>
      <c r="T953" s="304">
        <f t="shared" ca="1" si="407"/>
        <v>29.226932999999988</v>
      </c>
      <c r="U953" s="311">
        <f t="shared" ca="1" si="408"/>
        <v>0</v>
      </c>
      <c r="V953" s="306">
        <f t="shared" ca="1" si="409"/>
        <v>1.2266197609322891</v>
      </c>
      <c r="W953" s="304">
        <f t="shared" ca="1" si="410"/>
        <v>27.784386554049288</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0.46727326770522915</v>
      </c>
      <c r="AH953" s="304">
        <f t="shared" ca="1" si="434"/>
        <v>-9.3257921975448284</v>
      </c>
    </row>
    <row r="954" spans="1:34" x14ac:dyDescent="0.2">
      <c r="A954" s="347">
        <f t="shared" ca="1" si="412"/>
        <v>1E-4</v>
      </c>
      <c r="B954" s="304">
        <f t="shared" ca="1" si="413"/>
        <v>36.843400000001651</v>
      </c>
      <c r="D954" s="306">
        <f t="shared" ca="1" si="414"/>
        <v>-0.54772448362505577</v>
      </c>
      <c r="E954" s="307">
        <f t="shared" ca="1" si="415"/>
        <v>-0.50028812549831869</v>
      </c>
      <c r="F954" s="304">
        <f t="shared" ca="1" si="416"/>
        <v>0.74181555556415468</v>
      </c>
      <c r="G954" s="306">
        <f t="shared" ca="1" si="417"/>
        <v>6.1770443692839487</v>
      </c>
      <c r="H954" s="307">
        <f t="shared" ca="1" si="418"/>
        <v>-104.99264201439526</v>
      </c>
      <c r="I954" s="304">
        <f t="shared" ca="1" si="419"/>
        <v>105.17419243475587</v>
      </c>
      <c r="J954" s="306">
        <f t="shared" ca="1" si="420"/>
        <v>745.87074281998321</v>
      </c>
      <c r="K954" s="307">
        <f t="shared" ca="1" si="421"/>
        <v>-13.224301484217484</v>
      </c>
      <c r="L954" s="304">
        <f t="shared" ca="1" si="406"/>
        <v>745.98796715803599</v>
      </c>
      <c r="M954" s="306">
        <f t="shared" ca="1" si="422"/>
        <v>-1.5120309497704063</v>
      </c>
      <c r="N954" s="304">
        <f t="shared" ca="1" si="423"/>
        <v>-86.632991915001654</v>
      </c>
      <c r="P954" s="310">
        <f t="shared" ca="1" si="424"/>
        <v>23</v>
      </c>
      <c r="Q954" s="304">
        <f t="shared" ca="1" si="425"/>
        <v>0</v>
      </c>
      <c r="R954" s="306">
        <f t="shared" ca="1" si="426"/>
        <v>0</v>
      </c>
      <c r="S954" s="307">
        <f t="shared" ca="1" si="427"/>
        <v>2.9792999999999985</v>
      </c>
      <c r="T954" s="304">
        <f t="shared" ca="1" si="407"/>
        <v>29.226932999999988</v>
      </c>
      <c r="U954" s="311">
        <f t="shared" ca="1" si="408"/>
        <v>0</v>
      </c>
      <c r="V954" s="306">
        <f t="shared" ca="1" si="409"/>
        <v>1.2266210487937153</v>
      </c>
      <c r="W954" s="304">
        <f t="shared" ca="1" si="410"/>
        <v>27.784440413122134</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0.46725550530121396</v>
      </c>
      <c r="AH954" s="304">
        <f t="shared" ca="1" si="434"/>
        <v>-9.3258102755846348</v>
      </c>
    </row>
    <row r="955" spans="1:34" x14ac:dyDescent="0.2">
      <c r="A955" s="347">
        <f t="shared" ca="1" si="412"/>
        <v>1E-4</v>
      </c>
      <c r="B955" s="304">
        <f t="shared" ca="1" si="413"/>
        <v>36.843500000001654</v>
      </c>
      <c r="D955" s="306">
        <f t="shared" ca="1" si="414"/>
        <v>-0.54772044534287068</v>
      </c>
      <c r="E955" s="307">
        <f t="shared" ca="1" si="415"/>
        <v>-0.50026977889178603</v>
      </c>
      <c r="F955" s="304">
        <f t="shared" ca="1" si="416"/>
        <v>0.74180020080816167</v>
      </c>
      <c r="G955" s="306">
        <f t="shared" ca="1" si="417"/>
        <v>6.1769895972394142</v>
      </c>
      <c r="H955" s="307">
        <f t="shared" ca="1" si="418"/>
        <v>-104.99269204137315</v>
      </c>
      <c r="I955" s="304">
        <f t="shared" ca="1" si="419"/>
        <v>105.17423915854597</v>
      </c>
      <c r="J955" s="306">
        <f t="shared" ca="1" si="420"/>
        <v>745.87074281998321</v>
      </c>
      <c r="K955" s="307">
        <f t="shared" ca="1" si="421"/>
        <v>-13.234800750920273</v>
      </c>
      <c r="L955" s="304">
        <f t="shared" ca="1" si="406"/>
        <v>745.9881533548305</v>
      </c>
      <c r="M955" s="306">
        <f t="shared" ca="1" si="422"/>
        <v>-1.5120314975819293</v>
      </c>
      <c r="N955" s="304">
        <f t="shared" ca="1" si="423"/>
        <v>-86.633023302289885</v>
      </c>
      <c r="P955" s="310">
        <f t="shared" ca="1" si="424"/>
        <v>23</v>
      </c>
      <c r="Q955" s="304">
        <f t="shared" ca="1" si="425"/>
        <v>0</v>
      </c>
      <c r="R955" s="306">
        <f t="shared" ca="1" si="426"/>
        <v>0</v>
      </c>
      <c r="S955" s="307">
        <f t="shared" ca="1" si="427"/>
        <v>2.9792999999999985</v>
      </c>
      <c r="T955" s="304">
        <f t="shared" ca="1" si="407"/>
        <v>29.226932999999988</v>
      </c>
      <c r="U955" s="311">
        <f t="shared" ca="1" si="408"/>
        <v>0</v>
      </c>
      <c r="V955" s="306">
        <f t="shared" ca="1" si="409"/>
        <v>1.2266223366571083</v>
      </c>
      <c r="W955" s="304">
        <f t="shared" ca="1" si="410"/>
        <v>27.78449427136389</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0.46723774317015554</v>
      </c>
      <c r="AH955" s="304">
        <f t="shared" ca="1" si="434"/>
        <v>-9.3258283533454662</v>
      </c>
    </row>
    <row r="956" spans="1:34" x14ac:dyDescent="0.2">
      <c r="A956" s="347">
        <f t="shared" ca="1" si="412"/>
        <v>1E-4</v>
      </c>
      <c r="B956" s="304">
        <f t="shared" ca="1" si="413"/>
        <v>36.843600000001658</v>
      </c>
      <c r="D956" s="306">
        <f t="shared" ca="1" si="414"/>
        <v>-0.54771640707411851</v>
      </c>
      <c r="E956" s="307">
        <f t="shared" ca="1" si="415"/>
        <v>-0.50025143256828208</v>
      </c>
      <c r="F956" s="304">
        <f t="shared" ca="1" si="416"/>
        <v>0.74178484641087139</v>
      </c>
      <c r="G956" s="306">
        <f t="shared" ca="1" si="417"/>
        <v>6.1769348255987069</v>
      </c>
      <c r="H956" s="307">
        <f t="shared" ca="1" si="418"/>
        <v>-104.9927420665164</v>
      </c>
      <c r="I956" s="304">
        <f t="shared" ca="1" si="419"/>
        <v>105.17428588055986</v>
      </c>
      <c r="J956" s="306">
        <f t="shared" ca="1" si="420"/>
        <v>745.87074281998321</v>
      </c>
      <c r="K956" s="307">
        <f t="shared" ca="1" si="421"/>
        <v>-13.245300022625669</v>
      </c>
      <c r="L956" s="304">
        <f t="shared" ca="1" si="406"/>
        <v>745.98833969943723</v>
      </c>
      <c r="M956" s="306">
        <f t="shared" ca="1" si="422"/>
        <v>-1.5120320453881082</v>
      </c>
      <c r="N956" s="304">
        <f t="shared" ca="1" si="423"/>
        <v>-86.63305468927193</v>
      </c>
      <c r="P956" s="310">
        <f t="shared" ca="1" si="424"/>
        <v>23</v>
      </c>
      <c r="Q956" s="304">
        <f t="shared" ca="1" si="425"/>
        <v>0</v>
      </c>
      <c r="R956" s="306">
        <f t="shared" ca="1" si="426"/>
        <v>0</v>
      </c>
      <c r="S956" s="307">
        <f t="shared" ca="1" si="427"/>
        <v>2.9792999999999985</v>
      </c>
      <c r="T956" s="304">
        <f t="shared" ca="1" si="407"/>
        <v>29.226932999999988</v>
      </c>
      <c r="U956" s="311">
        <f t="shared" ca="1" si="408"/>
        <v>0</v>
      </c>
      <c r="V956" s="306">
        <f t="shared" ca="1" si="409"/>
        <v>1.226623624522468</v>
      </c>
      <c r="W956" s="304">
        <f t="shared" ca="1" si="410"/>
        <v>27.784548128774528</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0.46721998131203435</v>
      </c>
      <c r="AH956" s="304">
        <f t="shared" ca="1" si="434"/>
        <v>-9.3258464308273439</v>
      </c>
    </row>
    <row r="957" spans="1:34" x14ac:dyDescent="0.2">
      <c r="A957" s="347">
        <f t="shared" ca="1" si="412"/>
        <v>1E-4</v>
      </c>
      <c r="B957" s="304">
        <f t="shared" ca="1" si="413"/>
        <v>36.843700000001661</v>
      </c>
      <c r="D957" s="306">
        <f t="shared" ca="1" si="414"/>
        <v>-0.54771236881879914</v>
      </c>
      <c r="E957" s="307">
        <f t="shared" ca="1" si="415"/>
        <v>-0.50023308652782106</v>
      </c>
      <c r="F957" s="304">
        <f t="shared" ca="1" si="416"/>
        <v>0.74176949237229395</v>
      </c>
      <c r="G957" s="306">
        <f t="shared" ca="1" si="417"/>
        <v>6.176880054361825</v>
      </c>
      <c r="H957" s="307">
        <f t="shared" ca="1" si="418"/>
        <v>-104.99279208982506</v>
      </c>
      <c r="I957" s="304">
        <f t="shared" ca="1" si="419"/>
        <v>105.17433260079764</v>
      </c>
      <c r="J957" s="306">
        <f t="shared" ca="1" si="420"/>
        <v>745.87074281998321</v>
      </c>
      <c r="K957" s="307">
        <f t="shared" ca="1" si="421"/>
        <v>-13.255799299333486</v>
      </c>
      <c r="L957" s="304">
        <f t="shared" ca="1" si="406"/>
        <v>745.98852619185618</v>
      </c>
      <c r="M957" s="306">
        <f t="shared" ca="1" si="422"/>
        <v>-1.5120325931889429</v>
      </c>
      <c r="N957" s="304">
        <f t="shared" ca="1" si="423"/>
        <v>-86.633086075947773</v>
      </c>
      <c r="P957" s="310">
        <f t="shared" ca="1" si="424"/>
        <v>23</v>
      </c>
      <c r="Q957" s="304">
        <f t="shared" ca="1" si="425"/>
        <v>0</v>
      </c>
      <c r="R957" s="306">
        <f t="shared" ca="1" si="426"/>
        <v>0</v>
      </c>
      <c r="S957" s="307">
        <f t="shared" ca="1" si="427"/>
        <v>2.9792999999999985</v>
      </c>
      <c r="T957" s="304">
        <f t="shared" ca="1" si="407"/>
        <v>29.226932999999988</v>
      </c>
      <c r="U957" s="311">
        <f t="shared" ca="1" si="408"/>
        <v>0</v>
      </c>
      <c r="V957" s="306">
        <f t="shared" ca="1" si="409"/>
        <v>1.2266249123897945</v>
      </c>
      <c r="W957" s="304">
        <f t="shared" ca="1" si="410"/>
        <v>27.784601985354101</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0.46720221972686105</v>
      </c>
      <c r="AH957" s="304">
        <f t="shared" ca="1" si="434"/>
        <v>-9.3258645080302554</v>
      </c>
    </row>
    <row r="958" spans="1:34" x14ac:dyDescent="0.2">
      <c r="A958" s="347">
        <f t="shared" ca="1" si="412"/>
        <v>1E-4</v>
      </c>
      <c r="B958" s="304">
        <f t="shared" ca="1" si="413"/>
        <v>36.843800000001664</v>
      </c>
      <c r="D958" s="306">
        <f t="shared" ca="1" si="414"/>
        <v>-0.5477083305769147</v>
      </c>
      <c r="E958" s="307">
        <f t="shared" ca="1" si="415"/>
        <v>-0.50021474077038164</v>
      </c>
      <c r="F958" s="304">
        <f t="shared" ca="1" si="416"/>
        <v>0.74175413869241813</v>
      </c>
      <c r="G958" s="306">
        <f t="shared" ca="1" si="417"/>
        <v>6.1768252835287676</v>
      </c>
      <c r="H958" s="307">
        <f t="shared" ca="1" si="418"/>
        <v>-104.99284211129914</v>
      </c>
      <c r="I958" s="304">
        <f t="shared" ca="1" si="419"/>
        <v>105.17437931925926</v>
      </c>
      <c r="J958" s="306">
        <f t="shared" ca="1" si="420"/>
        <v>745.87074281998321</v>
      </c>
      <c r="K958" s="307">
        <f t="shared" ca="1" si="421"/>
        <v>-13.266298581043541</v>
      </c>
      <c r="L958" s="304">
        <f t="shared" ca="1" si="406"/>
        <v>745.98871283208769</v>
      </c>
      <c r="M958" s="306">
        <f t="shared" ca="1" si="422"/>
        <v>-1.5120331409844336</v>
      </c>
      <c r="N958" s="304">
        <f t="shared" ca="1" si="423"/>
        <v>-86.633117462317429</v>
      </c>
      <c r="P958" s="310">
        <f t="shared" ca="1" si="424"/>
        <v>23</v>
      </c>
      <c r="Q958" s="304">
        <f t="shared" ca="1" si="425"/>
        <v>0</v>
      </c>
      <c r="R958" s="306">
        <f t="shared" ca="1" si="426"/>
        <v>0</v>
      </c>
      <c r="S958" s="307">
        <f t="shared" ca="1" si="427"/>
        <v>2.9792999999999985</v>
      </c>
      <c r="T958" s="304">
        <f t="shared" ca="1" si="407"/>
        <v>29.226932999999988</v>
      </c>
      <c r="U958" s="311">
        <f t="shared" ca="1" si="408"/>
        <v>0</v>
      </c>
      <c r="V958" s="306">
        <f t="shared" ca="1" si="409"/>
        <v>1.2266262002590873</v>
      </c>
      <c r="W958" s="304">
        <f t="shared" ca="1" si="410"/>
        <v>27.784655841102577</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0.46718445841461431</v>
      </c>
      <c r="AH958" s="304">
        <f t="shared" ca="1" si="434"/>
        <v>-9.325882584954222</v>
      </c>
    </row>
    <row r="959" spans="1:34" x14ac:dyDescent="0.2">
      <c r="A959" s="347">
        <f t="shared" ca="1" si="412"/>
        <v>1E-4</v>
      </c>
      <c r="B959" s="304">
        <f t="shared" ca="1" si="413"/>
        <v>36.843900000001668</v>
      </c>
      <c r="D959" s="306">
        <f t="shared" ca="1" si="414"/>
        <v>-0.54770429234846307</v>
      </c>
      <c r="E959" s="307">
        <f t="shared" ca="1" si="415"/>
        <v>-0.50019639529597626</v>
      </c>
      <c r="F959" s="304">
        <f t="shared" ca="1" si="416"/>
        <v>0.74173878537125137</v>
      </c>
      <c r="G959" s="306">
        <f t="shared" ca="1" si="417"/>
        <v>6.176770513099533</v>
      </c>
      <c r="H959" s="307">
        <f t="shared" ca="1" si="418"/>
        <v>-104.99289213093867</v>
      </c>
      <c r="I959" s="304">
        <f t="shared" ca="1" si="419"/>
        <v>105.17442603594478</v>
      </c>
      <c r="J959" s="306">
        <f t="shared" ca="1" si="420"/>
        <v>745.87074281998321</v>
      </c>
      <c r="K959" s="307">
        <f t="shared" ca="1" si="421"/>
        <v>-13.276797867755652</v>
      </c>
      <c r="L959" s="304">
        <f t="shared" ca="1" si="406"/>
        <v>745.98889962013152</v>
      </c>
      <c r="M959" s="306">
        <f t="shared" ca="1" si="422"/>
        <v>-1.5120336887745802</v>
      </c>
      <c r="N959" s="304">
        <f t="shared" ca="1" si="423"/>
        <v>-86.633148848380884</v>
      </c>
      <c r="P959" s="310">
        <f t="shared" ca="1" si="424"/>
        <v>23</v>
      </c>
      <c r="Q959" s="304">
        <f t="shared" ca="1" si="425"/>
        <v>0</v>
      </c>
      <c r="R959" s="306">
        <f t="shared" ca="1" si="426"/>
        <v>0</v>
      </c>
      <c r="S959" s="307">
        <f t="shared" ca="1" si="427"/>
        <v>2.9792999999999985</v>
      </c>
      <c r="T959" s="304">
        <f t="shared" ca="1" si="407"/>
        <v>29.226932999999988</v>
      </c>
      <c r="U959" s="311">
        <f t="shared" ca="1" si="408"/>
        <v>0</v>
      </c>
      <c r="V959" s="306">
        <f t="shared" ca="1" si="409"/>
        <v>1.2266274881303469</v>
      </c>
      <c r="W959" s="304">
        <f t="shared" ca="1" si="410"/>
        <v>27.784709696019984</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0.46716669737530836</v>
      </c>
      <c r="AH959" s="304">
        <f t="shared" ca="1" si="434"/>
        <v>-9.3259006615992313</v>
      </c>
    </row>
    <row r="960" spans="1:34" x14ac:dyDescent="0.2">
      <c r="A960" s="347">
        <f t="shared" ca="1" si="412"/>
        <v>1E-4</v>
      </c>
      <c r="B960" s="304">
        <f t="shared" ca="1" si="413"/>
        <v>36.844000000001671</v>
      </c>
      <c r="D960" s="306">
        <f t="shared" ca="1" si="414"/>
        <v>-0.54770025413344769</v>
      </c>
      <c r="E960" s="307">
        <f t="shared" ca="1" si="415"/>
        <v>-0.50017805010459249</v>
      </c>
      <c r="F960" s="304">
        <f t="shared" ca="1" si="416"/>
        <v>0.74172343240878902</v>
      </c>
      <c r="G960" s="306">
        <f t="shared" ca="1" si="417"/>
        <v>6.1767157430741193</v>
      </c>
      <c r="H960" s="307">
        <f t="shared" ca="1" si="418"/>
        <v>-104.99294214874368</v>
      </c>
      <c r="I960" s="304">
        <f t="shared" ca="1" si="419"/>
        <v>105.17447275085422</v>
      </c>
      <c r="J960" s="306">
        <f t="shared" ca="1" si="420"/>
        <v>745.87074281998321</v>
      </c>
      <c r="K960" s="307">
        <f t="shared" ca="1" si="421"/>
        <v>-13.287297159469636</v>
      </c>
      <c r="L960" s="304">
        <f t="shared" ca="1" si="406"/>
        <v>745.98908655598814</v>
      </c>
      <c r="M960" s="306">
        <f t="shared" ca="1" si="422"/>
        <v>-1.5120342365593831</v>
      </c>
      <c r="N960" s="304">
        <f t="shared" ca="1" si="423"/>
        <v>-86.633180234138166</v>
      </c>
      <c r="P960" s="310">
        <f t="shared" ca="1" si="424"/>
        <v>23</v>
      </c>
      <c r="Q960" s="304">
        <f t="shared" ca="1" si="425"/>
        <v>0</v>
      </c>
      <c r="R960" s="306">
        <f t="shared" ca="1" si="426"/>
        <v>0</v>
      </c>
      <c r="S960" s="307">
        <f t="shared" ca="1" si="427"/>
        <v>2.9792999999999985</v>
      </c>
      <c r="T960" s="304">
        <f t="shared" ca="1" si="407"/>
        <v>29.226932999999988</v>
      </c>
      <c r="U960" s="311">
        <f t="shared" ca="1" si="408"/>
        <v>0</v>
      </c>
      <c r="V960" s="306">
        <f t="shared" ca="1" si="409"/>
        <v>1.2266287760035735</v>
      </c>
      <c r="W960" s="304">
        <f t="shared" ca="1" si="410"/>
        <v>27.784763550106337</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0.46714893660892898</v>
      </c>
      <c r="AH960" s="304">
        <f t="shared" ca="1" si="434"/>
        <v>-9.3259187379652939</v>
      </c>
    </row>
    <row r="961" spans="1:34" x14ac:dyDescent="0.2">
      <c r="A961" s="347">
        <f t="shared" ca="1" si="412"/>
        <v>1E-4</v>
      </c>
      <c r="B961" s="304">
        <f t="shared" ca="1" si="413"/>
        <v>36.844100000001674</v>
      </c>
      <c r="D961" s="306">
        <f t="shared" ca="1" si="414"/>
        <v>-0.54769621593186546</v>
      </c>
      <c r="E961" s="307">
        <f t="shared" ca="1" si="415"/>
        <v>-0.50015970519623032</v>
      </c>
      <c r="F961" s="304">
        <f t="shared" ca="1" si="416"/>
        <v>0.74170807980502995</v>
      </c>
      <c r="G961" s="306">
        <f t="shared" ca="1" si="417"/>
        <v>6.1766609734525257</v>
      </c>
      <c r="H961" s="307">
        <f t="shared" ca="1" si="418"/>
        <v>-104.9929921647142</v>
      </c>
      <c r="I961" s="304">
        <f t="shared" ca="1" si="419"/>
        <v>105.17451946398761</v>
      </c>
      <c r="J961" s="306">
        <f t="shared" ca="1" si="420"/>
        <v>745.87074281998321</v>
      </c>
      <c r="K961" s="307">
        <f t="shared" ca="1" si="421"/>
        <v>-13.29779645618531</v>
      </c>
      <c r="L961" s="304">
        <f t="shared" ca="1" si="406"/>
        <v>745.98927363965743</v>
      </c>
      <c r="M961" s="306">
        <f t="shared" ca="1" si="422"/>
        <v>-1.512034784338842</v>
      </c>
      <c r="N961" s="304">
        <f t="shared" ca="1" si="423"/>
        <v>-86.633211619589275</v>
      </c>
      <c r="P961" s="310">
        <f t="shared" ca="1" si="424"/>
        <v>23</v>
      </c>
      <c r="Q961" s="304">
        <f t="shared" ca="1" si="425"/>
        <v>0</v>
      </c>
      <c r="R961" s="306">
        <f t="shared" ca="1" si="426"/>
        <v>0</v>
      </c>
      <c r="S961" s="307">
        <f t="shared" ca="1" si="427"/>
        <v>2.9792999999999985</v>
      </c>
      <c r="T961" s="304">
        <f t="shared" ca="1" si="407"/>
        <v>29.226932999999988</v>
      </c>
      <c r="U961" s="311">
        <f t="shared" ca="1" si="408"/>
        <v>0</v>
      </c>
      <c r="V961" s="306">
        <f t="shared" ca="1" si="409"/>
        <v>1.2266300638787664</v>
      </c>
      <c r="W961" s="304">
        <f t="shared" ca="1" si="410"/>
        <v>27.78481740336165</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0.46713117611547972</v>
      </c>
      <c r="AH961" s="304">
        <f t="shared" ca="1" si="434"/>
        <v>-9.3259368140524117</v>
      </c>
    </row>
    <row r="962" spans="1:34" x14ac:dyDescent="0.2">
      <c r="A962" s="347">
        <f t="shared" ca="1" si="412"/>
        <v>1E-4</v>
      </c>
      <c r="B962" s="304">
        <f t="shared" ca="1" si="413"/>
        <v>36.844200000001678</v>
      </c>
      <c r="D962" s="306">
        <f t="shared" ca="1" si="414"/>
        <v>-0.54769217774371948</v>
      </c>
      <c r="E962" s="307">
        <f t="shared" ca="1" si="415"/>
        <v>-0.5001413605708791</v>
      </c>
      <c r="F962" s="304">
        <f t="shared" ca="1" si="416"/>
        <v>0.74169272755997018</v>
      </c>
      <c r="G962" s="306">
        <f t="shared" ca="1" si="417"/>
        <v>6.1766062042347514</v>
      </c>
      <c r="H962" s="307">
        <f t="shared" ca="1" si="418"/>
        <v>-104.99304217885025</v>
      </c>
      <c r="I962" s="304">
        <f t="shared" ca="1" si="419"/>
        <v>105.17456617534496</v>
      </c>
      <c r="J962" s="306">
        <f t="shared" ca="1" si="420"/>
        <v>745.87074281998321</v>
      </c>
      <c r="K962" s="307">
        <f t="shared" ca="1" si="421"/>
        <v>-13.308295757902489</v>
      </c>
      <c r="L962" s="304">
        <f t="shared" ca="1" si="406"/>
        <v>745.9894608711395</v>
      </c>
      <c r="M962" s="306">
        <f t="shared" ca="1" si="422"/>
        <v>-1.5120353321129569</v>
      </c>
      <c r="N962" s="304">
        <f t="shared" ca="1" si="423"/>
        <v>-86.633243004734183</v>
      </c>
      <c r="P962" s="310">
        <f t="shared" ca="1" si="424"/>
        <v>23</v>
      </c>
      <c r="Q962" s="304">
        <f t="shared" ca="1" si="425"/>
        <v>0</v>
      </c>
      <c r="R962" s="306">
        <f t="shared" ca="1" si="426"/>
        <v>0</v>
      </c>
      <c r="S962" s="307">
        <f t="shared" ca="1" si="427"/>
        <v>2.9792999999999985</v>
      </c>
      <c r="T962" s="304">
        <f t="shared" ca="1" si="407"/>
        <v>29.226932999999988</v>
      </c>
      <c r="U962" s="311">
        <f t="shared" ca="1" si="408"/>
        <v>0</v>
      </c>
      <c r="V962" s="306">
        <f t="shared" ca="1" si="409"/>
        <v>1.2266313517559257</v>
      </c>
      <c r="W962" s="304">
        <f t="shared" ca="1" si="410"/>
        <v>27.784871255785898</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0.46711341589494815</v>
      </c>
      <c r="AH962" s="304">
        <f t="shared" ca="1" si="434"/>
        <v>-9.3259548898605935</v>
      </c>
    </row>
    <row r="963" spans="1:34" x14ac:dyDescent="0.2">
      <c r="A963" s="347">
        <f t="shared" ca="1" si="412"/>
        <v>1E-4</v>
      </c>
      <c r="B963" s="304">
        <f t="shared" ca="1" si="413"/>
        <v>36.844300000001681</v>
      </c>
      <c r="D963" s="306">
        <f t="shared" ca="1" si="414"/>
        <v>-0.54768813956900975</v>
      </c>
      <c r="E963" s="307">
        <f t="shared" ca="1" si="415"/>
        <v>-0.50012301622855304</v>
      </c>
      <c r="F963" s="304">
        <f t="shared" ca="1" si="416"/>
        <v>0.74167737567362035</v>
      </c>
      <c r="G963" s="306">
        <f t="shared" ca="1" si="417"/>
        <v>6.1765514354207944</v>
      </c>
      <c r="H963" s="307">
        <f t="shared" ca="1" si="418"/>
        <v>-104.99309219115187</v>
      </c>
      <c r="I963" s="304">
        <f t="shared" ca="1" si="419"/>
        <v>105.17461288492635</v>
      </c>
      <c r="J963" s="306">
        <f t="shared" ca="1" si="420"/>
        <v>745.87074281998321</v>
      </c>
      <c r="K963" s="307">
        <f t="shared" ca="1" si="421"/>
        <v>-13.318795064620989</v>
      </c>
      <c r="L963" s="304">
        <f t="shared" ca="1" si="406"/>
        <v>745.98964825043436</v>
      </c>
      <c r="M963" s="306">
        <f t="shared" ca="1" si="422"/>
        <v>-1.5120358798817284</v>
      </c>
      <c r="N963" s="304">
        <f t="shared" ca="1" si="423"/>
        <v>-86.633274389572932</v>
      </c>
      <c r="P963" s="310">
        <f t="shared" ca="1" si="424"/>
        <v>23</v>
      </c>
      <c r="Q963" s="304">
        <f t="shared" ca="1" si="425"/>
        <v>0</v>
      </c>
      <c r="R963" s="306">
        <f t="shared" ca="1" si="426"/>
        <v>0</v>
      </c>
      <c r="S963" s="307">
        <f t="shared" ca="1" si="427"/>
        <v>2.9792999999999985</v>
      </c>
      <c r="T963" s="304">
        <f t="shared" ca="1" si="407"/>
        <v>29.226932999999988</v>
      </c>
      <c r="U963" s="311">
        <f t="shared" ca="1" si="408"/>
        <v>0</v>
      </c>
      <c r="V963" s="306">
        <f t="shared" ca="1" si="409"/>
        <v>1.2266326396350518</v>
      </c>
      <c r="W963" s="304">
        <f t="shared" ca="1" si="410"/>
        <v>27.784925107379134</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0.4670956559473467</v>
      </c>
      <c r="AH963" s="304">
        <f t="shared" ca="1" si="434"/>
        <v>-9.3259729653898269</v>
      </c>
    </row>
    <row r="964" spans="1:34" x14ac:dyDescent="0.2">
      <c r="A964" s="347">
        <f t="shared" ca="1" si="412"/>
        <v>1E-4</v>
      </c>
      <c r="B964" s="304">
        <f t="shared" ca="1" si="413"/>
        <v>36.844400000001684</v>
      </c>
      <c r="D964" s="306">
        <f t="shared" ca="1" si="414"/>
        <v>-0.54768410140773438</v>
      </c>
      <c r="E964" s="307">
        <f t="shared" ca="1" si="415"/>
        <v>-0.50010467216922905</v>
      </c>
      <c r="F964" s="304">
        <f t="shared" ca="1" si="416"/>
        <v>0.74166202414596472</v>
      </c>
      <c r="G964" s="306">
        <f t="shared" ca="1" si="417"/>
        <v>6.176496667010654</v>
      </c>
      <c r="H964" s="307">
        <f t="shared" ca="1" si="418"/>
        <v>-104.99314220161909</v>
      </c>
      <c r="I964" s="304">
        <f t="shared" ca="1" si="419"/>
        <v>105.17465959273176</v>
      </c>
      <c r="J964" s="306">
        <f t="shared" ca="1" si="420"/>
        <v>745.87074281998321</v>
      </c>
      <c r="K964" s="307">
        <f t="shared" ca="1" si="421"/>
        <v>-13.329294376340627</v>
      </c>
      <c r="L964" s="304">
        <f t="shared" ref="L964:L1004" ca="1" si="435">SQRT(pos_x^2+pos_z^2)</f>
        <v>745.98983577754234</v>
      </c>
      <c r="M964" s="306">
        <f t="shared" ca="1" si="422"/>
        <v>-1.5120364276451559</v>
      </c>
      <c r="N964" s="304">
        <f t="shared" ca="1" si="423"/>
        <v>-86.633305774105509</v>
      </c>
      <c r="P964" s="310">
        <f t="shared" ca="1" si="424"/>
        <v>23</v>
      </c>
      <c r="Q964" s="304">
        <f t="shared" ca="1" si="425"/>
        <v>0</v>
      </c>
      <c r="R964" s="306">
        <f t="shared" ca="1" si="426"/>
        <v>0</v>
      </c>
      <c r="S964" s="307">
        <f t="shared" ca="1" si="427"/>
        <v>2.9792999999999985</v>
      </c>
      <c r="T964" s="304">
        <f t="shared" ref="T964:T1004" ca="1" si="436">m*g</f>
        <v>29.226932999999988</v>
      </c>
      <c r="U964" s="311">
        <f t="shared" ref="U964:U1004" ca="1" si="437">IF(pos_xz&lt;L_rampe,Poids*COS(Beta),0)</f>
        <v>0</v>
      </c>
      <c r="V964" s="306">
        <f t="shared" ref="V964:V1004" ca="1" si="438">Rho_moyen*(20000-Alt_rampe-pos_z)/(20000+Alt_rampe+pos_z)</f>
        <v>1.2266339275161446</v>
      </c>
      <c r="W964" s="304">
        <f t="shared" ref="W964:W1003" ca="1" si="439">1/2*Rho*Sref*Cx*vit_xz^2</f>
        <v>27.784978958141355</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0.46707789627265761</v>
      </c>
      <c r="AH964" s="304">
        <f t="shared" ca="1" si="434"/>
        <v>-9.3259910406401332</v>
      </c>
    </row>
    <row r="965" spans="1:34" x14ac:dyDescent="0.2">
      <c r="A965" s="347">
        <f t="shared" ref="A965:A1004" ca="1" si="441">IF(B964+0.01&lt;=T_ini+ROUNDUP(Temps_fin_propu,0), 0.01, IF(K964&gt;0, 0.1, 0.0001))</f>
        <v>1E-4</v>
      </c>
      <c r="B965" s="304">
        <f t="shared" ref="B965:B1004" ca="1" si="442">B964+pas</f>
        <v>36.844500000001688</v>
      </c>
      <c r="D965" s="306">
        <f t="shared" ref="D965:D1004" ca="1" si="443">IF(AND(L964&lt;L_rampe,Poussee&lt;Poids*SIN(M964)),0,(-W964+Poussee)/m*COS(M964)-U964/m*SIN(M964))</f>
        <v>-0.54768006325989793</v>
      </c>
      <c r="E965" s="307">
        <f t="shared" ref="E965:E1004" ca="1" si="444">IF(AND(L964&lt;L_rampe,Poussee&lt;Poids*SIN(M964)),0,(-W964+Poussee)/m*SIN(M964)+U964/m*COS(M964)-Poids/m)</f>
        <v>-0.50008632839291067</v>
      </c>
      <c r="F965" s="304">
        <f t="shared" ref="F965:F1004" ca="1" si="445">SQRT(acc_x^2+acc_z^2)</f>
        <v>0.74164667297700992</v>
      </c>
      <c r="G965" s="306">
        <f t="shared" ref="G965:G1004" ca="1" si="446">G964+acc_x*pas</f>
        <v>6.1764418990043284</v>
      </c>
      <c r="H965" s="307">
        <f t="shared" ref="H965:H1004" ca="1" si="447">H964+acc_z*pas</f>
        <v>-104.99319221025193</v>
      </c>
      <c r="I965" s="304">
        <f t="shared" ref="I965:I1004" ca="1" si="448">SQRT(vit_x^2+vit_z^2)</f>
        <v>105.17470629876122</v>
      </c>
      <c r="J965" s="306">
        <f t="shared" ref="J965:J1004" ca="1" si="449">J964+0.5*(vit_x+G964)*pas*(K964&gt;=0)</f>
        <v>745.87074281998321</v>
      </c>
      <c r="K965" s="307">
        <f t="shared" ref="K965:K1004" ca="1" si="450">K964+0.5*(vit_z+H964)*pas</f>
        <v>-13.339793693061221</v>
      </c>
      <c r="L965" s="304">
        <f t="shared" ca="1" si="435"/>
        <v>745.99002345246345</v>
      </c>
      <c r="M965" s="306">
        <f t="shared" ref="M965:M1004" ca="1" si="451">IF(AND(L964&gt;L_rampe,G965&gt;0),ATAN2(G965,H965),$M$4)</f>
        <v>-1.5120369754032401</v>
      </c>
      <c r="N965" s="304">
        <f t="shared" ref="N965:N1004" ca="1" si="452">DEGREES(Beta)</f>
        <v>-86.633337158331926</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2.9792999999999985</v>
      </c>
      <c r="T965" s="304">
        <f t="shared" ca="1" si="436"/>
        <v>29.226932999999988</v>
      </c>
      <c r="U965" s="311">
        <f t="shared" ca="1" si="437"/>
        <v>0</v>
      </c>
      <c r="V965" s="306">
        <f t="shared" ca="1" si="438"/>
        <v>1.2266352153992033</v>
      </c>
      <c r="W965" s="304">
        <f t="shared" ca="1" si="439"/>
        <v>27.785032808072557</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0.46706013687088088</v>
      </c>
      <c r="AH965" s="304">
        <f t="shared" ref="AH965:AH1004" ca="1" si="463">IF(AND(L964&lt;L_rampe,Poussee&lt;Poids*SIN(M964)), g*SIN(M964), (-W964+Poussee)/m)</f>
        <v>-9.3260091156115088</v>
      </c>
    </row>
    <row r="966" spans="1:34" x14ac:dyDescent="0.2">
      <c r="A966" s="347">
        <f t="shared" ca="1" si="441"/>
        <v>1E-4</v>
      </c>
      <c r="B966" s="304">
        <f t="shared" ca="1" si="442"/>
        <v>36.844600000001691</v>
      </c>
      <c r="D966" s="306">
        <f t="shared" ca="1" si="443"/>
        <v>-0.54767602512549485</v>
      </c>
      <c r="E966" s="307">
        <f t="shared" ca="1" si="444"/>
        <v>-0.50006798489959969</v>
      </c>
      <c r="F966" s="304">
        <f t="shared" ca="1" si="445"/>
        <v>0.7416313221667542</v>
      </c>
      <c r="G966" s="306">
        <f t="shared" ca="1" si="446"/>
        <v>6.1763871314018157</v>
      </c>
      <c r="H966" s="307">
        <f t="shared" ca="1" si="447"/>
        <v>-104.99324221705042</v>
      </c>
      <c r="I966" s="304">
        <f t="shared" ca="1" si="448"/>
        <v>105.17475300301477</v>
      </c>
      <c r="J966" s="306">
        <f t="shared" ca="1" si="449"/>
        <v>745.87074281998321</v>
      </c>
      <c r="K966" s="307">
        <f t="shared" ca="1" si="450"/>
        <v>-13.350293014782586</v>
      </c>
      <c r="L966" s="304">
        <f t="shared" ca="1" si="435"/>
        <v>745.99021127519768</v>
      </c>
      <c r="M966" s="306">
        <f t="shared" ca="1" si="451"/>
        <v>-1.5120375231559806</v>
      </c>
      <c r="N966" s="304">
        <f t="shared" ca="1" si="452"/>
        <v>-86.633368542252171</v>
      </c>
      <c r="P966" s="310">
        <f t="shared" ca="1" si="453"/>
        <v>23</v>
      </c>
      <c r="Q966" s="304">
        <f t="shared" ca="1" si="454"/>
        <v>0</v>
      </c>
      <c r="R966" s="306">
        <f t="shared" ca="1" si="455"/>
        <v>0</v>
      </c>
      <c r="S966" s="307">
        <f t="shared" ca="1" si="456"/>
        <v>2.9792999999999985</v>
      </c>
      <c r="T966" s="304">
        <f t="shared" ca="1" si="436"/>
        <v>29.226932999999988</v>
      </c>
      <c r="U966" s="311">
        <f t="shared" ca="1" si="437"/>
        <v>0</v>
      </c>
      <c r="V966" s="306">
        <f t="shared" ca="1" si="438"/>
        <v>1.2266365032842295</v>
      </c>
      <c r="W966" s="304">
        <f t="shared" ca="1" si="439"/>
        <v>27.785086657172773</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0.46704237774201829</v>
      </c>
      <c r="AH966" s="304">
        <f t="shared" ca="1" si="463"/>
        <v>-9.3260271903039538</v>
      </c>
    </row>
    <row r="967" spans="1:34" x14ac:dyDescent="0.2">
      <c r="A967" s="347">
        <f t="shared" ca="1" si="441"/>
        <v>1E-4</v>
      </c>
      <c r="B967" s="304">
        <f t="shared" ca="1" si="442"/>
        <v>36.844700000001694</v>
      </c>
      <c r="D967" s="306">
        <f t="shared" ca="1" si="443"/>
        <v>-0.54767198700453079</v>
      </c>
      <c r="E967" s="307">
        <f t="shared" ca="1" si="444"/>
        <v>-0.50004964168928545</v>
      </c>
      <c r="F967" s="304">
        <f t="shared" ca="1" si="445"/>
        <v>0.74161597171519555</v>
      </c>
      <c r="G967" s="306">
        <f t="shared" ca="1" si="446"/>
        <v>6.1763323642031152</v>
      </c>
      <c r="H967" s="307">
        <f t="shared" ca="1" si="447"/>
        <v>-104.99329222201459</v>
      </c>
      <c r="I967" s="304">
        <f t="shared" ca="1" si="448"/>
        <v>105.17479970549243</v>
      </c>
      <c r="J967" s="306">
        <f t="shared" ca="1" si="449"/>
        <v>745.87074281998321</v>
      </c>
      <c r="K967" s="307">
        <f t="shared" ca="1" si="450"/>
        <v>-13.36079234150454</v>
      </c>
      <c r="L967" s="304">
        <f t="shared" ca="1" si="435"/>
        <v>745.99039924574527</v>
      </c>
      <c r="M967" s="306">
        <f t="shared" ca="1" si="451"/>
        <v>-1.5120380709033776</v>
      </c>
      <c r="N967" s="304">
        <f t="shared" ca="1" si="452"/>
        <v>-86.633399925866257</v>
      </c>
      <c r="P967" s="310">
        <f t="shared" ca="1" si="453"/>
        <v>23</v>
      </c>
      <c r="Q967" s="304">
        <f t="shared" ca="1" si="454"/>
        <v>0</v>
      </c>
      <c r="R967" s="306">
        <f t="shared" ca="1" si="455"/>
        <v>0</v>
      </c>
      <c r="S967" s="307">
        <f t="shared" ca="1" si="456"/>
        <v>2.9792999999999985</v>
      </c>
      <c r="T967" s="304">
        <f t="shared" ca="1" si="436"/>
        <v>29.226932999999988</v>
      </c>
      <c r="U967" s="311">
        <f t="shared" ca="1" si="437"/>
        <v>0</v>
      </c>
      <c r="V967" s="306">
        <f t="shared" ca="1" si="438"/>
        <v>1.2266377911712212</v>
      </c>
      <c r="W967" s="304">
        <f t="shared" ca="1" si="439"/>
        <v>27.785140505441976</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0.46702461888605917</v>
      </c>
      <c r="AH967" s="304">
        <f t="shared" ca="1" si="463"/>
        <v>-9.3260452647174787</v>
      </c>
    </row>
    <row r="968" spans="1:34" x14ac:dyDescent="0.2">
      <c r="A968" s="347">
        <f t="shared" ca="1" si="441"/>
        <v>1E-4</v>
      </c>
      <c r="B968" s="304">
        <f t="shared" ca="1" si="442"/>
        <v>36.844800000001698</v>
      </c>
      <c r="D968" s="306">
        <f t="shared" ca="1" si="443"/>
        <v>-0.54766794889700399</v>
      </c>
      <c r="E968" s="307">
        <f t="shared" ca="1" si="444"/>
        <v>-0.50003129876197328</v>
      </c>
      <c r="F968" s="304">
        <f t="shared" ca="1" si="445"/>
        <v>0.74160062162233731</v>
      </c>
      <c r="G968" s="306">
        <f t="shared" ca="1" si="446"/>
        <v>6.1762775974082258</v>
      </c>
      <c r="H968" s="307">
        <f t="shared" ca="1" si="447"/>
        <v>-104.99334222514446</v>
      </c>
      <c r="I968" s="304">
        <f t="shared" ca="1" si="448"/>
        <v>105.17484640619423</v>
      </c>
      <c r="J968" s="306">
        <f t="shared" ca="1" si="449"/>
        <v>745.87074281998321</v>
      </c>
      <c r="K968" s="307">
        <f t="shared" ca="1" si="450"/>
        <v>-13.371291673226898</v>
      </c>
      <c r="L968" s="304">
        <f t="shared" ca="1" si="435"/>
        <v>745.99058736410609</v>
      </c>
      <c r="M968" s="306">
        <f t="shared" ca="1" si="451"/>
        <v>-1.5120386186454313</v>
      </c>
      <c r="N968" s="304">
        <f t="shared" ca="1" si="452"/>
        <v>-86.633431309174199</v>
      </c>
      <c r="P968" s="310">
        <f t="shared" ca="1" si="453"/>
        <v>23</v>
      </c>
      <c r="Q968" s="304">
        <f t="shared" ca="1" si="454"/>
        <v>0</v>
      </c>
      <c r="R968" s="306">
        <f t="shared" ca="1" si="455"/>
        <v>0</v>
      </c>
      <c r="S968" s="307">
        <f t="shared" ca="1" si="456"/>
        <v>2.9792999999999985</v>
      </c>
      <c r="T968" s="304">
        <f t="shared" ca="1" si="436"/>
        <v>29.226932999999988</v>
      </c>
      <c r="U968" s="311">
        <f t="shared" ca="1" si="437"/>
        <v>0</v>
      </c>
      <c r="V968" s="306">
        <f t="shared" ca="1" si="438"/>
        <v>1.2266390790601798</v>
      </c>
      <c r="W968" s="304">
        <f t="shared" ca="1" si="439"/>
        <v>27.785194352880211</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0.46700686030301064</v>
      </c>
      <c r="AH968" s="304">
        <f t="shared" ca="1" si="463"/>
        <v>-9.3260633388520766</v>
      </c>
    </row>
    <row r="969" spans="1:34" x14ac:dyDescent="0.2">
      <c r="A969" s="347">
        <f t="shared" ca="1" si="441"/>
        <v>1E-4</v>
      </c>
      <c r="B969" s="304">
        <f t="shared" ca="1" si="442"/>
        <v>36.844900000001701</v>
      </c>
      <c r="D969" s="306">
        <f t="shared" ca="1" si="443"/>
        <v>-0.54766391080291377</v>
      </c>
      <c r="E969" s="307">
        <f t="shared" ca="1" si="444"/>
        <v>-0.50001295611765251</v>
      </c>
      <c r="F969" s="304">
        <f t="shared" ca="1" si="445"/>
        <v>0.74158527188817291</v>
      </c>
      <c r="G969" s="306">
        <f t="shared" ca="1" si="446"/>
        <v>6.1762228310171459</v>
      </c>
      <c r="H969" s="307">
        <f t="shared" ca="1" si="447"/>
        <v>-104.99339222644006</v>
      </c>
      <c r="I969" s="304">
        <f t="shared" ca="1" si="448"/>
        <v>105.1748931051202</v>
      </c>
      <c r="J969" s="306">
        <f t="shared" ca="1" si="449"/>
        <v>745.87074281998321</v>
      </c>
      <c r="K969" s="307">
        <f t="shared" ca="1" si="450"/>
        <v>-13.381791009949477</v>
      </c>
      <c r="L969" s="304">
        <f t="shared" ca="1" si="435"/>
        <v>745.9907756302805</v>
      </c>
      <c r="M969" s="306">
        <f t="shared" ca="1" si="451"/>
        <v>-1.5120391663821415</v>
      </c>
      <c r="N969" s="304">
        <f t="shared" ca="1" si="452"/>
        <v>-86.633462692175982</v>
      </c>
      <c r="P969" s="310">
        <f t="shared" ca="1" si="453"/>
        <v>23</v>
      </c>
      <c r="Q969" s="304">
        <f t="shared" ca="1" si="454"/>
        <v>0</v>
      </c>
      <c r="R969" s="306">
        <f t="shared" ca="1" si="455"/>
        <v>0</v>
      </c>
      <c r="S969" s="307">
        <f t="shared" ca="1" si="456"/>
        <v>2.9792999999999985</v>
      </c>
      <c r="T969" s="304">
        <f t="shared" ca="1" si="436"/>
        <v>29.226932999999988</v>
      </c>
      <c r="U969" s="311">
        <f t="shared" ca="1" si="437"/>
        <v>0</v>
      </c>
      <c r="V969" s="306">
        <f t="shared" ca="1" si="438"/>
        <v>1.2266403669511048</v>
      </c>
      <c r="W969" s="304">
        <f t="shared" ca="1" si="439"/>
        <v>27.785248199487473</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0.46698910199286203</v>
      </c>
      <c r="AH969" s="304">
        <f t="shared" ca="1" si="463"/>
        <v>-9.326081412707758</v>
      </c>
    </row>
    <row r="970" spans="1:34" x14ac:dyDescent="0.2">
      <c r="A970" s="347">
        <f t="shared" ca="1" si="441"/>
        <v>1E-4</v>
      </c>
      <c r="B970" s="304">
        <f t="shared" ca="1" si="442"/>
        <v>36.845000000001704</v>
      </c>
      <c r="D970" s="306">
        <f t="shared" ca="1" si="443"/>
        <v>-0.54765987272226291</v>
      </c>
      <c r="E970" s="307">
        <f t="shared" ca="1" si="444"/>
        <v>-0.49999461375632137</v>
      </c>
      <c r="F970" s="304">
        <f t="shared" ca="1" si="445"/>
        <v>0.74156992251270426</v>
      </c>
      <c r="G970" s="306">
        <f t="shared" ca="1" si="446"/>
        <v>6.1761680650298736</v>
      </c>
      <c r="H970" s="307">
        <f t="shared" ca="1" si="447"/>
        <v>-104.99344222590145</v>
      </c>
      <c r="I970" s="304">
        <f t="shared" ca="1" si="448"/>
        <v>105.17493980227039</v>
      </c>
      <c r="J970" s="306">
        <f t="shared" ca="1" si="449"/>
        <v>745.87074281998321</v>
      </c>
      <c r="K970" s="307">
        <f t="shared" ca="1" si="450"/>
        <v>-13.392290351672095</v>
      </c>
      <c r="L970" s="304">
        <f t="shared" ca="1" si="435"/>
        <v>745.99096404426848</v>
      </c>
      <c r="M970" s="306">
        <f t="shared" ca="1" si="451"/>
        <v>-1.5120397141135085</v>
      </c>
      <c r="N970" s="304">
        <f t="shared" ca="1" si="452"/>
        <v>-86.633494074871606</v>
      </c>
      <c r="P970" s="310">
        <f t="shared" ca="1" si="453"/>
        <v>23</v>
      </c>
      <c r="Q970" s="304">
        <f t="shared" ca="1" si="454"/>
        <v>0</v>
      </c>
      <c r="R970" s="306">
        <f t="shared" ca="1" si="455"/>
        <v>0</v>
      </c>
      <c r="S970" s="307">
        <f t="shared" ca="1" si="456"/>
        <v>2.9792999999999985</v>
      </c>
      <c r="T970" s="304">
        <f t="shared" ca="1" si="436"/>
        <v>29.226932999999988</v>
      </c>
      <c r="U970" s="311">
        <f t="shared" ca="1" si="437"/>
        <v>0</v>
      </c>
      <c r="V970" s="306">
        <f t="shared" ca="1" si="438"/>
        <v>1.2266416548439965</v>
      </c>
      <c r="W970" s="304">
        <f t="shared" ca="1" si="439"/>
        <v>27.785302045263787</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0.46697134395561157</v>
      </c>
      <c r="AH970" s="304">
        <f t="shared" ca="1" si="463"/>
        <v>-9.3260994862845248</v>
      </c>
    </row>
    <row r="971" spans="1:34" x14ac:dyDescent="0.2">
      <c r="A971" s="347">
        <f t="shared" ca="1" si="441"/>
        <v>1E-4</v>
      </c>
      <c r="B971" s="304">
        <f t="shared" ca="1" si="442"/>
        <v>36.845100000001707</v>
      </c>
      <c r="D971" s="306">
        <f t="shared" ca="1" si="443"/>
        <v>-0.54765583465505085</v>
      </c>
      <c r="E971" s="307">
        <f t="shared" ca="1" si="444"/>
        <v>-0.49997627167797276</v>
      </c>
      <c r="F971" s="304">
        <f t="shared" ca="1" si="445"/>
        <v>0.74155457349592713</v>
      </c>
      <c r="G971" s="306">
        <f t="shared" ca="1" si="446"/>
        <v>6.1761132994464081</v>
      </c>
      <c r="H971" s="307">
        <f t="shared" ca="1" si="447"/>
        <v>-104.99349222352862</v>
      </c>
      <c r="I971" s="304">
        <f t="shared" ca="1" si="448"/>
        <v>105.17498649764478</v>
      </c>
      <c r="J971" s="306">
        <f t="shared" ca="1" si="449"/>
        <v>745.87074281998321</v>
      </c>
      <c r="K971" s="307">
        <f t="shared" ca="1" si="450"/>
        <v>-13.402789698394567</v>
      </c>
      <c r="L971" s="304">
        <f t="shared" ca="1" si="435"/>
        <v>745.99115260607005</v>
      </c>
      <c r="M971" s="306">
        <f t="shared" ca="1" si="451"/>
        <v>-1.5120402618395323</v>
      </c>
      <c r="N971" s="304">
        <f t="shared" ca="1" si="452"/>
        <v>-86.633525457261101</v>
      </c>
      <c r="P971" s="310">
        <f t="shared" ca="1" si="453"/>
        <v>23</v>
      </c>
      <c r="Q971" s="304">
        <f t="shared" ca="1" si="454"/>
        <v>0</v>
      </c>
      <c r="R971" s="306">
        <f t="shared" ca="1" si="455"/>
        <v>0</v>
      </c>
      <c r="S971" s="307">
        <f t="shared" ca="1" si="456"/>
        <v>2.9792999999999985</v>
      </c>
      <c r="T971" s="304">
        <f t="shared" ca="1" si="436"/>
        <v>29.226932999999988</v>
      </c>
      <c r="U971" s="311">
        <f t="shared" ca="1" si="437"/>
        <v>0</v>
      </c>
      <c r="V971" s="306">
        <f t="shared" ca="1" si="438"/>
        <v>1.2266429427388541</v>
      </c>
      <c r="W971" s="304">
        <f t="shared" ca="1" si="439"/>
        <v>27.785355890209143</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0.46695358619125216</v>
      </c>
      <c r="AH971" s="304">
        <f t="shared" ca="1" si="463"/>
        <v>-9.3261175595823858</v>
      </c>
    </row>
    <row r="972" spans="1:34" x14ac:dyDescent="0.2">
      <c r="A972" s="347">
        <f t="shared" ca="1" si="441"/>
        <v>1E-4</v>
      </c>
      <c r="B972" s="304">
        <f t="shared" ca="1" si="442"/>
        <v>36.845200000001711</v>
      </c>
      <c r="D972" s="306">
        <f t="shared" ca="1" si="443"/>
        <v>-0.54765179660127583</v>
      </c>
      <c r="E972" s="307">
        <f t="shared" ca="1" si="444"/>
        <v>-0.49995792988261023</v>
      </c>
      <c r="F972" s="304">
        <f t="shared" ca="1" si="445"/>
        <v>0.74153922483784374</v>
      </c>
      <c r="G972" s="306">
        <f t="shared" ca="1" si="446"/>
        <v>6.1760585342667476</v>
      </c>
      <c r="H972" s="307">
        <f t="shared" ca="1" si="447"/>
        <v>-104.99354221932161</v>
      </c>
      <c r="I972" s="304">
        <f t="shared" ca="1" si="448"/>
        <v>105.17503319124344</v>
      </c>
      <c r="J972" s="306">
        <f t="shared" ca="1" si="449"/>
        <v>745.87074281998321</v>
      </c>
      <c r="K972" s="307">
        <f t="shared" ca="1" si="450"/>
        <v>-13.41328905011671</v>
      </c>
      <c r="L972" s="304">
        <f t="shared" ca="1" si="435"/>
        <v>745.99134131568542</v>
      </c>
      <c r="M972" s="306">
        <f t="shared" ca="1" si="451"/>
        <v>-1.5120408095602129</v>
      </c>
      <c r="N972" s="304">
        <f t="shared" ca="1" si="452"/>
        <v>-86.63355683934445</v>
      </c>
      <c r="P972" s="310">
        <f t="shared" ca="1" si="453"/>
        <v>23</v>
      </c>
      <c r="Q972" s="304">
        <f t="shared" ca="1" si="454"/>
        <v>0</v>
      </c>
      <c r="R972" s="306">
        <f t="shared" ca="1" si="455"/>
        <v>0</v>
      </c>
      <c r="S972" s="307">
        <f t="shared" ca="1" si="456"/>
        <v>2.9792999999999985</v>
      </c>
      <c r="T972" s="304">
        <f t="shared" ca="1" si="436"/>
        <v>29.226932999999988</v>
      </c>
      <c r="U972" s="311">
        <f t="shared" ca="1" si="437"/>
        <v>0</v>
      </c>
      <c r="V972" s="306">
        <f t="shared" ca="1" si="438"/>
        <v>1.2266442306356784</v>
      </c>
      <c r="W972" s="304">
        <f t="shared" ca="1" si="439"/>
        <v>27.785409734323569</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0.46693582869978556</v>
      </c>
      <c r="AH972" s="304">
        <f t="shared" ca="1" si="463"/>
        <v>-9.3261356326013356</v>
      </c>
    </row>
    <row r="973" spans="1:34" x14ac:dyDescent="0.2">
      <c r="A973" s="347">
        <f t="shared" ca="1" si="441"/>
        <v>1E-4</v>
      </c>
      <c r="B973" s="304">
        <f t="shared" ca="1" si="442"/>
        <v>36.845300000001714</v>
      </c>
      <c r="D973" s="306">
        <f t="shared" ca="1" si="443"/>
        <v>-0.54764775856094117</v>
      </c>
      <c r="E973" s="307">
        <f t="shared" ca="1" si="444"/>
        <v>-0.4999395883702249</v>
      </c>
      <c r="F973" s="304">
        <f t="shared" ca="1" si="445"/>
        <v>0.74152387653845164</v>
      </c>
      <c r="G973" s="306">
        <f t="shared" ca="1" si="446"/>
        <v>6.1760037694908911</v>
      </c>
      <c r="H973" s="307">
        <f t="shared" ca="1" si="447"/>
        <v>-104.99359221328045</v>
      </c>
      <c r="I973" s="304">
        <f t="shared" ca="1" si="448"/>
        <v>105.17507988306636</v>
      </c>
      <c r="J973" s="306">
        <f t="shared" ca="1" si="449"/>
        <v>745.87074281998321</v>
      </c>
      <c r="K973" s="307">
        <f t="shared" ca="1" si="450"/>
        <v>-13.423788406838339</v>
      </c>
      <c r="L973" s="304">
        <f t="shared" ca="1" si="435"/>
        <v>745.99153017311471</v>
      </c>
      <c r="M973" s="306">
        <f t="shared" ca="1" si="451"/>
        <v>-1.5120413572755504</v>
      </c>
      <c r="N973" s="304">
        <f t="shared" ca="1" si="452"/>
        <v>-86.63358822112167</v>
      </c>
      <c r="P973" s="310">
        <f t="shared" ca="1" si="453"/>
        <v>23</v>
      </c>
      <c r="Q973" s="304">
        <f t="shared" ca="1" si="454"/>
        <v>0</v>
      </c>
      <c r="R973" s="306">
        <f t="shared" ca="1" si="455"/>
        <v>0</v>
      </c>
      <c r="S973" s="307">
        <f t="shared" ca="1" si="456"/>
        <v>2.9792999999999985</v>
      </c>
      <c r="T973" s="304">
        <f t="shared" ca="1" si="436"/>
        <v>29.226932999999988</v>
      </c>
      <c r="U973" s="311">
        <f t="shared" ca="1" si="437"/>
        <v>0</v>
      </c>
      <c r="V973" s="306">
        <f t="shared" ca="1" si="438"/>
        <v>1.2266455185344691</v>
      </c>
      <c r="W973" s="304">
        <f t="shared" ca="1" si="439"/>
        <v>27.785463577607054</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0.46691807148120645</v>
      </c>
      <c r="AH973" s="304">
        <f t="shared" ca="1" si="463"/>
        <v>-9.3261537053413832</v>
      </c>
    </row>
    <row r="974" spans="1:34" x14ac:dyDescent="0.2">
      <c r="A974" s="347">
        <f t="shared" ca="1" si="441"/>
        <v>1E-4</v>
      </c>
      <c r="B974" s="304">
        <f t="shared" ca="1" si="442"/>
        <v>36.845400000001717</v>
      </c>
      <c r="D974" s="306">
        <f t="shared" ca="1" si="443"/>
        <v>-0.54764372053404542</v>
      </c>
      <c r="E974" s="307">
        <f t="shared" ca="1" si="444"/>
        <v>-0.49992124714081854</v>
      </c>
      <c r="F974" s="304">
        <f t="shared" ca="1" si="445"/>
        <v>0.74150852859775185</v>
      </c>
      <c r="G974" s="306">
        <f t="shared" ca="1" si="446"/>
        <v>6.1759490051188379</v>
      </c>
      <c r="H974" s="307">
        <f t="shared" ca="1" si="447"/>
        <v>-104.99364220540517</v>
      </c>
      <c r="I974" s="304">
        <f t="shared" ca="1" si="448"/>
        <v>105.1751265731136</v>
      </c>
      <c r="J974" s="306">
        <f t="shared" ca="1" si="449"/>
        <v>745.87074281998321</v>
      </c>
      <c r="K974" s="307">
        <f t="shared" ca="1" si="450"/>
        <v>-13.434287768559273</v>
      </c>
      <c r="L974" s="304">
        <f t="shared" ca="1" si="435"/>
        <v>745.99171917835793</v>
      </c>
      <c r="M974" s="306">
        <f t="shared" ca="1" si="451"/>
        <v>-1.5120419049855449</v>
      </c>
      <c r="N974" s="304">
        <f t="shared" ca="1" si="452"/>
        <v>-86.633619602592759</v>
      </c>
      <c r="P974" s="310">
        <f t="shared" ca="1" si="453"/>
        <v>23</v>
      </c>
      <c r="Q974" s="304">
        <f t="shared" ca="1" si="454"/>
        <v>0</v>
      </c>
      <c r="R974" s="306">
        <f t="shared" ca="1" si="455"/>
        <v>0</v>
      </c>
      <c r="S974" s="307">
        <f t="shared" ca="1" si="456"/>
        <v>2.9792999999999985</v>
      </c>
      <c r="T974" s="304">
        <f t="shared" ca="1" si="436"/>
        <v>29.226932999999988</v>
      </c>
      <c r="U974" s="311">
        <f t="shared" ca="1" si="437"/>
        <v>0</v>
      </c>
      <c r="V974" s="306">
        <f t="shared" ca="1" si="438"/>
        <v>1.2266468064352261</v>
      </c>
      <c r="W974" s="304">
        <f t="shared" ca="1" si="439"/>
        <v>27.78551742005962</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0.46690031453551484</v>
      </c>
      <c r="AH974" s="304">
        <f t="shared" ca="1" si="463"/>
        <v>-9.3261717778025268</v>
      </c>
    </row>
    <row r="975" spans="1:34" x14ac:dyDescent="0.2">
      <c r="A975" s="347">
        <f t="shared" ca="1" si="441"/>
        <v>1E-4</v>
      </c>
      <c r="B975" s="304">
        <f t="shared" ca="1" si="442"/>
        <v>36.845500000001721</v>
      </c>
      <c r="D975" s="306">
        <f t="shared" ca="1" si="443"/>
        <v>-0.54763968252058992</v>
      </c>
      <c r="E975" s="307">
        <f t="shared" ca="1" si="444"/>
        <v>-0.49990290619438582</v>
      </c>
      <c r="F975" s="304">
        <f t="shared" ca="1" si="445"/>
        <v>0.74149318101574302</v>
      </c>
      <c r="G975" s="306">
        <f t="shared" ca="1" si="446"/>
        <v>6.1758942411505862</v>
      </c>
      <c r="H975" s="307">
        <f t="shared" ca="1" si="447"/>
        <v>-104.99369219569579</v>
      </c>
      <c r="I975" s="304">
        <f t="shared" ca="1" si="448"/>
        <v>105.17517326138517</v>
      </c>
      <c r="J975" s="306">
        <f t="shared" ca="1" si="449"/>
        <v>745.87074281998321</v>
      </c>
      <c r="K975" s="307">
        <f t="shared" ca="1" si="450"/>
        <v>-13.444787135279327</v>
      </c>
      <c r="L975" s="304">
        <f t="shared" ca="1" si="435"/>
        <v>745.99190833141517</v>
      </c>
      <c r="M975" s="306">
        <f t="shared" ca="1" si="451"/>
        <v>-1.5120424526901963</v>
      </c>
      <c r="N975" s="304">
        <f t="shared" ca="1" si="452"/>
        <v>-86.633650983757704</v>
      </c>
      <c r="P975" s="310">
        <f t="shared" ca="1" si="453"/>
        <v>23</v>
      </c>
      <c r="Q975" s="304">
        <f t="shared" ca="1" si="454"/>
        <v>0</v>
      </c>
      <c r="R975" s="306">
        <f t="shared" ca="1" si="455"/>
        <v>0</v>
      </c>
      <c r="S975" s="307">
        <f t="shared" ca="1" si="456"/>
        <v>2.9792999999999985</v>
      </c>
      <c r="T975" s="304">
        <f t="shared" ca="1" si="436"/>
        <v>29.226932999999988</v>
      </c>
      <c r="U975" s="311">
        <f t="shared" ca="1" si="437"/>
        <v>0</v>
      </c>
      <c r="V975" s="306">
        <f t="shared" ca="1" si="438"/>
        <v>1.2266480943379492</v>
      </c>
      <c r="W975" s="304">
        <f t="shared" ca="1" si="439"/>
        <v>27.785571261681273</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0.46688255786270361</v>
      </c>
      <c r="AH975" s="304">
        <f t="shared" ca="1" si="463"/>
        <v>-9.3261898499847735</v>
      </c>
    </row>
    <row r="976" spans="1:34" x14ac:dyDescent="0.2">
      <c r="A976" s="347">
        <f t="shared" ca="1" si="441"/>
        <v>1E-4</v>
      </c>
      <c r="B976" s="304">
        <f t="shared" ca="1" si="442"/>
        <v>36.845600000001724</v>
      </c>
      <c r="D976" s="306">
        <f t="shared" ca="1" si="443"/>
        <v>-0.54763564452057534</v>
      </c>
      <c r="E976" s="307">
        <f t="shared" ca="1" si="444"/>
        <v>-0.4998845655309232</v>
      </c>
      <c r="F976" s="304">
        <f t="shared" ca="1" si="445"/>
        <v>0.74147783379242416</v>
      </c>
      <c r="G976" s="306">
        <f t="shared" ca="1" si="446"/>
        <v>6.1758394775861341</v>
      </c>
      <c r="H976" s="307">
        <f t="shared" ca="1" si="447"/>
        <v>-104.99374218415234</v>
      </c>
      <c r="I976" s="304">
        <f t="shared" ca="1" si="448"/>
        <v>105.17521994788108</v>
      </c>
      <c r="J976" s="306">
        <f t="shared" ca="1" si="449"/>
        <v>745.87074281998321</v>
      </c>
      <c r="K976" s="307">
        <f t="shared" ca="1" si="450"/>
        <v>-13.45528650699832</v>
      </c>
      <c r="L976" s="304">
        <f t="shared" ca="1" si="435"/>
        <v>745.99209763228657</v>
      </c>
      <c r="M976" s="306">
        <f t="shared" ca="1" si="451"/>
        <v>-1.5120430003895049</v>
      </c>
      <c r="N976" s="304">
        <f t="shared" ca="1" si="452"/>
        <v>-86.633682364616519</v>
      </c>
      <c r="P976" s="310">
        <f t="shared" ca="1" si="453"/>
        <v>23</v>
      </c>
      <c r="Q976" s="304">
        <f t="shared" ca="1" si="454"/>
        <v>0</v>
      </c>
      <c r="R976" s="306">
        <f t="shared" ca="1" si="455"/>
        <v>0</v>
      </c>
      <c r="S976" s="307">
        <f t="shared" ca="1" si="456"/>
        <v>2.9792999999999985</v>
      </c>
      <c r="T976" s="304">
        <f t="shared" ca="1" si="436"/>
        <v>29.226932999999988</v>
      </c>
      <c r="U976" s="311">
        <f t="shared" ca="1" si="437"/>
        <v>0</v>
      </c>
      <c r="V976" s="306">
        <f t="shared" ca="1" si="438"/>
        <v>1.2266493822426392</v>
      </c>
      <c r="W976" s="304">
        <f t="shared" ca="1" si="439"/>
        <v>27.785625102472032</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0.46686480146277454</v>
      </c>
      <c r="AH976" s="304">
        <f t="shared" ca="1" si="463"/>
        <v>-9.3262079218881233</v>
      </c>
    </row>
    <row r="977" spans="1:34" x14ac:dyDescent="0.2">
      <c r="A977" s="347">
        <f t="shared" ca="1" si="441"/>
        <v>1E-4</v>
      </c>
      <c r="B977" s="304">
        <f t="shared" ca="1" si="442"/>
        <v>36.845700000001727</v>
      </c>
      <c r="D977" s="306">
        <f t="shared" ca="1" si="443"/>
        <v>-0.54763160653400078</v>
      </c>
      <c r="E977" s="307">
        <f t="shared" ca="1" si="444"/>
        <v>-0.49986622515042534</v>
      </c>
      <c r="F977" s="304">
        <f t="shared" ca="1" si="445"/>
        <v>0.74146248692779215</v>
      </c>
      <c r="G977" s="306">
        <f t="shared" ca="1" si="446"/>
        <v>6.1757847144254807</v>
      </c>
      <c r="H977" s="307">
        <f t="shared" ca="1" si="447"/>
        <v>-104.99379217077485</v>
      </c>
      <c r="I977" s="304">
        <f t="shared" ca="1" si="448"/>
        <v>105.17526663260139</v>
      </c>
      <c r="J977" s="306">
        <f t="shared" ca="1" si="449"/>
        <v>745.87074281998321</v>
      </c>
      <c r="K977" s="307">
        <f t="shared" ca="1" si="450"/>
        <v>-13.465785883716066</v>
      </c>
      <c r="L977" s="304">
        <f t="shared" ca="1" si="435"/>
        <v>745.99228708097223</v>
      </c>
      <c r="M977" s="306">
        <f t="shared" ca="1" si="451"/>
        <v>-1.5120435480834706</v>
      </c>
      <c r="N977" s="304">
        <f t="shared" ca="1" si="452"/>
        <v>-86.633713745169217</v>
      </c>
      <c r="P977" s="310">
        <f t="shared" ca="1" si="453"/>
        <v>23</v>
      </c>
      <c r="Q977" s="304">
        <f t="shared" ca="1" si="454"/>
        <v>0</v>
      </c>
      <c r="R977" s="306">
        <f t="shared" ca="1" si="455"/>
        <v>0</v>
      </c>
      <c r="S977" s="307">
        <f t="shared" ca="1" si="456"/>
        <v>2.9792999999999985</v>
      </c>
      <c r="T977" s="304">
        <f t="shared" ca="1" si="436"/>
        <v>29.226932999999988</v>
      </c>
      <c r="U977" s="311">
        <f t="shared" ca="1" si="437"/>
        <v>0</v>
      </c>
      <c r="V977" s="306">
        <f t="shared" ca="1" si="438"/>
        <v>1.2266506701492952</v>
      </c>
      <c r="W977" s="304">
        <f t="shared" ca="1" si="439"/>
        <v>27.7856789424319</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0.46684704533571875</v>
      </c>
      <c r="AH977" s="304">
        <f t="shared" ca="1" si="463"/>
        <v>-9.3262259935125851</v>
      </c>
    </row>
    <row r="978" spans="1:34" x14ac:dyDescent="0.2">
      <c r="A978" s="347">
        <f t="shared" ca="1" si="441"/>
        <v>1E-4</v>
      </c>
      <c r="B978" s="304">
        <f t="shared" ca="1" si="442"/>
        <v>36.845800000001731</v>
      </c>
      <c r="D978" s="306">
        <f t="shared" ca="1" si="443"/>
        <v>-0.54762756856086714</v>
      </c>
      <c r="E978" s="307">
        <f t="shared" ca="1" si="444"/>
        <v>-0.49984788505289046</v>
      </c>
      <c r="F978" s="304">
        <f t="shared" ca="1" si="445"/>
        <v>0.74144714042184745</v>
      </c>
      <c r="G978" s="306">
        <f t="shared" ca="1" si="446"/>
        <v>6.1757299516686244</v>
      </c>
      <c r="H978" s="307">
        <f t="shared" ca="1" si="447"/>
        <v>-104.99384215556336</v>
      </c>
      <c r="I978" s="304">
        <f t="shared" ca="1" si="448"/>
        <v>105.17531331554611</v>
      </c>
      <c r="J978" s="306">
        <f t="shared" ca="1" si="449"/>
        <v>745.87074281998321</v>
      </c>
      <c r="K978" s="307">
        <f t="shared" ca="1" si="450"/>
        <v>-13.476285265432383</v>
      </c>
      <c r="L978" s="304">
        <f t="shared" ca="1" si="435"/>
        <v>745.99247667747215</v>
      </c>
      <c r="M978" s="306">
        <f t="shared" ca="1" si="451"/>
        <v>-1.5120440957720935</v>
      </c>
      <c r="N978" s="304">
        <f t="shared" ca="1" si="452"/>
        <v>-86.6337451254158</v>
      </c>
      <c r="P978" s="310">
        <f t="shared" ca="1" si="453"/>
        <v>23</v>
      </c>
      <c r="Q978" s="304">
        <f t="shared" ca="1" si="454"/>
        <v>0</v>
      </c>
      <c r="R978" s="306">
        <f t="shared" ca="1" si="455"/>
        <v>0</v>
      </c>
      <c r="S978" s="307">
        <f t="shared" ca="1" si="456"/>
        <v>2.9792999999999985</v>
      </c>
      <c r="T978" s="304">
        <f t="shared" ca="1" si="436"/>
        <v>29.226932999999988</v>
      </c>
      <c r="U978" s="311">
        <f t="shared" ca="1" si="437"/>
        <v>0</v>
      </c>
      <c r="V978" s="306">
        <f t="shared" ca="1" si="438"/>
        <v>1.2266519580579172</v>
      </c>
      <c r="W978" s="304">
        <f t="shared" ca="1" si="439"/>
        <v>27.785732781560881</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0.46682928948153624</v>
      </c>
      <c r="AH978" s="304">
        <f t="shared" ca="1" si="463"/>
        <v>-9.3262440648581588</v>
      </c>
    </row>
    <row r="979" spans="1:34" x14ac:dyDescent="0.2">
      <c r="A979" s="347">
        <f t="shared" ca="1" si="441"/>
        <v>1E-4</v>
      </c>
      <c r="B979" s="304">
        <f t="shared" ca="1" si="442"/>
        <v>36.845900000001734</v>
      </c>
      <c r="D979" s="306">
        <f t="shared" ca="1" si="443"/>
        <v>-0.54762353060117519</v>
      </c>
      <c r="E979" s="307">
        <f t="shared" ca="1" si="444"/>
        <v>-0.4998295452383168</v>
      </c>
      <c r="F979" s="304">
        <f t="shared" ca="1" si="445"/>
        <v>0.74143179427459061</v>
      </c>
      <c r="G979" s="306">
        <f t="shared" ca="1" si="446"/>
        <v>6.1756751893155641</v>
      </c>
      <c r="H979" s="307">
        <f t="shared" ca="1" si="447"/>
        <v>-104.99389213851788</v>
      </c>
      <c r="I979" s="304">
        <f t="shared" ca="1" si="448"/>
        <v>105.17535999671527</v>
      </c>
      <c r="J979" s="306">
        <f t="shared" ca="1" si="449"/>
        <v>745.87074281998321</v>
      </c>
      <c r="K979" s="307">
        <f t="shared" ca="1" si="450"/>
        <v>-13.486784652147087</v>
      </c>
      <c r="L979" s="304">
        <f t="shared" ca="1" si="435"/>
        <v>745.99266642178657</v>
      </c>
      <c r="M979" s="306">
        <f t="shared" ca="1" si="451"/>
        <v>-1.5120446434553738</v>
      </c>
      <c r="N979" s="304">
        <f t="shared" ca="1" si="452"/>
        <v>-86.633776505356266</v>
      </c>
      <c r="P979" s="310">
        <f t="shared" ca="1" si="453"/>
        <v>23</v>
      </c>
      <c r="Q979" s="304">
        <f t="shared" ca="1" si="454"/>
        <v>0</v>
      </c>
      <c r="R979" s="306">
        <f t="shared" ca="1" si="455"/>
        <v>0</v>
      </c>
      <c r="S979" s="307">
        <f t="shared" ca="1" si="456"/>
        <v>2.9792999999999985</v>
      </c>
      <c r="T979" s="304">
        <f t="shared" ca="1" si="436"/>
        <v>29.226932999999988</v>
      </c>
      <c r="U979" s="311">
        <f t="shared" ca="1" si="437"/>
        <v>0</v>
      </c>
      <c r="V979" s="306">
        <f t="shared" ca="1" si="438"/>
        <v>1.226653245968506</v>
      </c>
      <c r="W979" s="304">
        <f t="shared" ca="1" si="439"/>
        <v>27.785786619859007</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0.46681153390022345</v>
      </c>
      <c r="AH979" s="304">
        <f t="shared" ca="1" si="463"/>
        <v>-9.3262621359248463</v>
      </c>
    </row>
    <row r="980" spans="1:34" x14ac:dyDescent="0.2">
      <c r="A980" s="347">
        <f t="shared" ca="1" si="441"/>
        <v>1E-4</v>
      </c>
      <c r="B980" s="304">
        <f t="shared" ca="1" si="442"/>
        <v>36.846000000001737</v>
      </c>
      <c r="D980" s="306">
        <f t="shared" ca="1" si="443"/>
        <v>-0.54761949265492427</v>
      </c>
      <c r="E980" s="307">
        <f t="shared" ca="1" si="444"/>
        <v>-0.49981120570669368</v>
      </c>
      <c r="F980" s="304">
        <f t="shared" ca="1" si="445"/>
        <v>0.74141644848601485</v>
      </c>
      <c r="G980" s="306">
        <f t="shared" ca="1" si="446"/>
        <v>6.1756204273662982</v>
      </c>
      <c r="H980" s="307">
        <f t="shared" ca="1" si="447"/>
        <v>-104.99394211963845</v>
      </c>
      <c r="I980" s="304">
        <f t="shared" ca="1" si="448"/>
        <v>105.17540667610891</v>
      </c>
      <c r="J980" s="306">
        <f t="shared" ca="1" si="449"/>
        <v>745.87074281998321</v>
      </c>
      <c r="K980" s="307">
        <f t="shared" ca="1" si="450"/>
        <v>-13.497284043859995</v>
      </c>
      <c r="L980" s="304">
        <f t="shared" ca="1" si="435"/>
        <v>745.99285631391547</v>
      </c>
      <c r="M980" s="306">
        <f t="shared" ca="1" si="451"/>
        <v>-1.5120451911333115</v>
      </c>
      <c r="N980" s="304">
        <f t="shared" ca="1" si="452"/>
        <v>-86.633807884990631</v>
      </c>
      <c r="P980" s="310">
        <f t="shared" ca="1" si="453"/>
        <v>23</v>
      </c>
      <c r="Q980" s="304">
        <f t="shared" ca="1" si="454"/>
        <v>0</v>
      </c>
      <c r="R980" s="306">
        <f t="shared" ca="1" si="455"/>
        <v>0</v>
      </c>
      <c r="S980" s="307">
        <f t="shared" ca="1" si="456"/>
        <v>2.9792999999999985</v>
      </c>
      <c r="T980" s="304">
        <f t="shared" ca="1" si="436"/>
        <v>29.226932999999988</v>
      </c>
      <c r="U980" s="311">
        <f t="shared" ca="1" si="437"/>
        <v>0</v>
      </c>
      <c r="V980" s="306">
        <f t="shared" ca="1" si="438"/>
        <v>1.2266545338810606</v>
      </c>
      <c r="W980" s="304">
        <f t="shared" ca="1" si="439"/>
        <v>27.785840457326255</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0.46679377859177151</v>
      </c>
      <c r="AH980" s="304">
        <f t="shared" ca="1" si="463"/>
        <v>-9.3262802067126582</v>
      </c>
    </row>
    <row r="981" spans="1:34" x14ac:dyDescent="0.2">
      <c r="A981" s="347">
        <f t="shared" ca="1" si="441"/>
        <v>1E-4</v>
      </c>
      <c r="B981" s="304">
        <f t="shared" ca="1" si="442"/>
        <v>36.846100000001741</v>
      </c>
      <c r="D981" s="306">
        <f t="shared" ca="1" si="443"/>
        <v>-0.54761545472211459</v>
      </c>
      <c r="E981" s="307">
        <f t="shared" ca="1" si="444"/>
        <v>-0.49979286645803001</v>
      </c>
      <c r="F981" s="304">
        <f t="shared" ca="1" si="445"/>
        <v>0.7414011030561275</v>
      </c>
      <c r="G981" s="306">
        <f t="shared" ca="1" si="446"/>
        <v>6.1755656658208258</v>
      </c>
      <c r="H981" s="307">
        <f t="shared" ca="1" si="447"/>
        <v>-104.99399209892509</v>
      </c>
      <c r="I981" s="304">
        <f t="shared" ca="1" si="448"/>
        <v>105.17545335372702</v>
      </c>
      <c r="J981" s="306">
        <f t="shared" ca="1" si="449"/>
        <v>745.87074281998321</v>
      </c>
      <c r="K981" s="307">
        <f t="shared" ca="1" si="450"/>
        <v>-13.507783440570924</v>
      </c>
      <c r="L981" s="304">
        <f t="shared" ca="1" si="435"/>
        <v>745.99304635385909</v>
      </c>
      <c r="M981" s="306">
        <f t="shared" ca="1" si="451"/>
        <v>-1.5120457388059065</v>
      </c>
      <c r="N981" s="304">
        <f t="shared" ca="1" si="452"/>
        <v>-86.63383926431888</v>
      </c>
      <c r="P981" s="310">
        <f t="shared" ca="1" si="453"/>
        <v>23</v>
      </c>
      <c r="Q981" s="304">
        <f t="shared" ca="1" si="454"/>
        <v>0</v>
      </c>
      <c r="R981" s="306">
        <f t="shared" ca="1" si="455"/>
        <v>0</v>
      </c>
      <c r="S981" s="307">
        <f t="shared" ca="1" si="456"/>
        <v>2.9792999999999985</v>
      </c>
      <c r="T981" s="304">
        <f t="shared" ca="1" si="436"/>
        <v>29.226932999999988</v>
      </c>
      <c r="U981" s="311">
        <f t="shared" ca="1" si="437"/>
        <v>0</v>
      </c>
      <c r="V981" s="306">
        <f t="shared" ca="1" si="438"/>
        <v>1.2266558217955816</v>
      </c>
      <c r="W981" s="304">
        <f t="shared" ca="1" si="439"/>
        <v>27.785894293962652</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0.4667760235561893</v>
      </c>
      <c r="AH981" s="304">
        <f t="shared" ca="1" si="463"/>
        <v>-9.3262982772215857</v>
      </c>
    </row>
    <row r="982" spans="1:34" x14ac:dyDescent="0.2">
      <c r="A982" s="347">
        <f t="shared" ca="1" si="441"/>
        <v>1E-4</v>
      </c>
      <c r="B982" s="304">
        <f t="shared" ca="1" si="442"/>
        <v>36.846200000001744</v>
      </c>
      <c r="D982" s="306">
        <f t="shared" ca="1" si="443"/>
        <v>-0.54761141680274739</v>
      </c>
      <c r="E982" s="307">
        <f t="shared" ca="1" si="444"/>
        <v>-0.4997745274923151</v>
      </c>
      <c r="F982" s="304">
        <f t="shared" ca="1" si="445"/>
        <v>0.74138575798492323</v>
      </c>
      <c r="G982" s="306">
        <f t="shared" ca="1" si="446"/>
        <v>6.1755109046791459</v>
      </c>
      <c r="H982" s="307">
        <f t="shared" ca="1" si="447"/>
        <v>-104.99404207637784</v>
      </c>
      <c r="I982" s="304">
        <f t="shared" ca="1" si="448"/>
        <v>105.17550002956968</v>
      </c>
      <c r="J982" s="306">
        <f t="shared" ca="1" si="449"/>
        <v>745.87074281998321</v>
      </c>
      <c r="K982" s="307">
        <f t="shared" ca="1" si="450"/>
        <v>-13.518282842279689</v>
      </c>
      <c r="L982" s="304">
        <f t="shared" ca="1" si="435"/>
        <v>745.99323654161731</v>
      </c>
      <c r="M982" s="306">
        <f t="shared" ca="1" si="451"/>
        <v>-1.512046286473159</v>
      </c>
      <c r="N982" s="304">
        <f t="shared" ca="1" si="452"/>
        <v>-86.633870643341027</v>
      </c>
      <c r="P982" s="310">
        <f t="shared" ca="1" si="453"/>
        <v>23</v>
      </c>
      <c r="Q982" s="304">
        <f t="shared" ca="1" si="454"/>
        <v>0</v>
      </c>
      <c r="R982" s="306">
        <f t="shared" ca="1" si="455"/>
        <v>0</v>
      </c>
      <c r="S982" s="307">
        <f t="shared" ca="1" si="456"/>
        <v>2.9792999999999985</v>
      </c>
      <c r="T982" s="304">
        <f t="shared" ca="1" si="436"/>
        <v>29.226932999999988</v>
      </c>
      <c r="U982" s="311">
        <f t="shared" ca="1" si="437"/>
        <v>0</v>
      </c>
      <c r="V982" s="306">
        <f t="shared" ca="1" si="438"/>
        <v>1.2266571097120689</v>
      </c>
      <c r="W982" s="304">
        <f t="shared" ca="1" si="439"/>
        <v>27.785948129768222</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0.46675826879346793</v>
      </c>
      <c r="AH982" s="304">
        <f t="shared" ca="1" si="463"/>
        <v>-9.3263163474516375</v>
      </c>
    </row>
    <row r="983" spans="1:34" x14ac:dyDescent="0.2">
      <c r="A983" s="347">
        <f t="shared" ca="1" si="441"/>
        <v>1E-4</v>
      </c>
      <c r="B983" s="304">
        <f t="shared" ca="1" si="442"/>
        <v>36.846300000001747</v>
      </c>
      <c r="D983" s="306">
        <f t="shared" ca="1" si="443"/>
        <v>-0.5476073788968242</v>
      </c>
      <c r="E983" s="307">
        <f t="shared" ca="1" si="444"/>
        <v>-0.49975618880954187</v>
      </c>
      <c r="F983" s="304">
        <f t="shared" ca="1" si="445"/>
        <v>0.7413704132723995</v>
      </c>
      <c r="G983" s="306">
        <f t="shared" ca="1" si="446"/>
        <v>6.1754561439412559</v>
      </c>
      <c r="H983" s="307">
        <f t="shared" ca="1" si="447"/>
        <v>-104.99409205199672</v>
      </c>
      <c r="I983" s="304">
        <f t="shared" ca="1" si="448"/>
        <v>105.17554670363688</v>
      </c>
      <c r="J983" s="306">
        <f t="shared" ca="1" si="449"/>
        <v>745.87074281998321</v>
      </c>
      <c r="K983" s="307">
        <f t="shared" ca="1" si="450"/>
        <v>-13.528782248986108</v>
      </c>
      <c r="L983" s="304">
        <f t="shared" ca="1" si="435"/>
        <v>745.99342687719047</v>
      </c>
      <c r="M983" s="306">
        <f t="shared" ca="1" si="451"/>
        <v>-1.512046834135069</v>
      </c>
      <c r="N983" s="304">
        <f t="shared" ca="1" si="452"/>
        <v>-86.633902022057072</v>
      </c>
      <c r="P983" s="310">
        <f t="shared" ca="1" si="453"/>
        <v>23</v>
      </c>
      <c r="Q983" s="304">
        <f t="shared" ca="1" si="454"/>
        <v>0</v>
      </c>
      <c r="R983" s="306">
        <f t="shared" ca="1" si="455"/>
        <v>0</v>
      </c>
      <c r="S983" s="307">
        <f t="shared" ca="1" si="456"/>
        <v>2.9792999999999985</v>
      </c>
      <c r="T983" s="304">
        <f t="shared" ca="1" si="436"/>
        <v>29.226932999999988</v>
      </c>
      <c r="U983" s="311">
        <f t="shared" ca="1" si="437"/>
        <v>0</v>
      </c>
      <c r="V983" s="306">
        <f t="shared" ca="1" si="438"/>
        <v>1.2266583976305219</v>
      </c>
      <c r="W983" s="304">
        <f t="shared" ca="1" si="439"/>
        <v>27.786001964742951</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0.46674051430359675</v>
      </c>
      <c r="AH983" s="304">
        <f t="shared" ca="1" si="463"/>
        <v>-9.3263344174028244</v>
      </c>
    </row>
    <row r="984" spans="1:34" x14ac:dyDescent="0.2">
      <c r="A984" s="347">
        <f t="shared" ca="1" si="441"/>
        <v>1E-4</v>
      </c>
      <c r="B984" s="304">
        <f t="shared" ca="1" si="442"/>
        <v>36.846400000001751</v>
      </c>
      <c r="D984" s="306">
        <f t="shared" ca="1" si="443"/>
        <v>-0.54760334100434305</v>
      </c>
      <c r="E984" s="307">
        <f t="shared" ca="1" si="444"/>
        <v>-0.49973785040971563</v>
      </c>
      <c r="F984" s="304">
        <f t="shared" ca="1" si="445"/>
        <v>0.74135506891855951</v>
      </c>
      <c r="G984" s="306">
        <f t="shared" ca="1" si="446"/>
        <v>6.1754013836071557</v>
      </c>
      <c r="H984" s="307">
        <f t="shared" ca="1" si="447"/>
        <v>-104.99414202578176</v>
      </c>
      <c r="I984" s="304">
        <f t="shared" ca="1" si="448"/>
        <v>105.17559337592866</v>
      </c>
      <c r="J984" s="306">
        <f t="shared" ca="1" si="449"/>
        <v>745.87074281998321</v>
      </c>
      <c r="K984" s="307">
        <f t="shared" ca="1" si="450"/>
        <v>-13.539281660689996</v>
      </c>
      <c r="L984" s="304">
        <f t="shared" ca="1" si="435"/>
        <v>745.99361736057836</v>
      </c>
      <c r="M984" s="306">
        <f t="shared" ca="1" si="451"/>
        <v>-1.5120473817916364</v>
      </c>
      <c r="N984" s="304">
        <f t="shared" ca="1" si="452"/>
        <v>-86.633933400467015</v>
      </c>
      <c r="P984" s="310">
        <f t="shared" ca="1" si="453"/>
        <v>23</v>
      </c>
      <c r="Q984" s="304">
        <f t="shared" ca="1" si="454"/>
        <v>0</v>
      </c>
      <c r="R984" s="306">
        <f t="shared" ca="1" si="455"/>
        <v>0</v>
      </c>
      <c r="S984" s="307">
        <f t="shared" ca="1" si="456"/>
        <v>2.9792999999999985</v>
      </c>
      <c r="T984" s="304">
        <f t="shared" ca="1" si="436"/>
        <v>29.226932999999988</v>
      </c>
      <c r="U984" s="311">
        <f t="shared" ca="1" si="437"/>
        <v>0</v>
      </c>
      <c r="V984" s="306">
        <f t="shared" ca="1" si="438"/>
        <v>1.2266596855509417</v>
      </c>
      <c r="W984" s="304">
        <f t="shared" ca="1" si="439"/>
        <v>27.786055798886863</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0.46672276008658287</v>
      </c>
      <c r="AH984" s="304">
        <f t="shared" ca="1" si="463"/>
        <v>-9.3263524870751393</v>
      </c>
    </row>
    <row r="985" spans="1:34" x14ac:dyDescent="0.2">
      <c r="A985" s="347">
        <f t="shared" ca="1" si="441"/>
        <v>1E-4</v>
      </c>
      <c r="B985" s="304">
        <f t="shared" ca="1" si="442"/>
        <v>36.846500000001754</v>
      </c>
      <c r="D985" s="306">
        <f t="shared" ca="1" si="443"/>
        <v>-0.54759930312530758</v>
      </c>
      <c r="E985" s="307">
        <f t="shared" ca="1" si="444"/>
        <v>-0.49971951229282574</v>
      </c>
      <c r="F985" s="304">
        <f t="shared" ca="1" si="445"/>
        <v>0.74133972492339983</v>
      </c>
      <c r="G985" s="306">
        <f t="shared" ca="1" si="446"/>
        <v>6.1753466236768428</v>
      </c>
      <c r="H985" s="307">
        <f t="shared" ca="1" si="447"/>
        <v>-104.99419199773298</v>
      </c>
      <c r="I985" s="304">
        <f t="shared" ca="1" si="448"/>
        <v>105.17564004644504</v>
      </c>
      <c r="J985" s="306">
        <f t="shared" ca="1" si="449"/>
        <v>745.87074281998321</v>
      </c>
      <c r="K985" s="307">
        <f t="shared" ca="1" si="450"/>
        <v>-13.549781077391172</v>
      </c>
      <c r="L985" s="304">
        <f t="shared" ca="1" si="435"/>
        <v>745.9938079917813</v>
      </c>
      <c r="M985" s="306">
        <f t="shared" ca="1" si="451"/>
        <v>-1.5120479294428617</v>
      </c>
      <c r="N985" s="304">
        <f t="shared" ca="1" si="452"/>
        <v>-86.633964778570856</v>
      </c>
      <c r="P985" s="310">
        <f t="shared" ca="1" si="453"/>
        <v>23</v>
      </c>
      <c r="Q985" s="304">
        <f t="shared" ca="1" si="454"/>
        <v>0</v>
      </c>
      <c r="R985" s="306">
        <f t="shared" ca="1" si="455"/>
        <v>0</v>
      </c>
      <c r="S985" s="307">
        <f t="shared" ca="1" si="456"/>
        <v>2.9792999999999985</v>
      </c>
      <c r="T985" s="304">
        <f t="shared" ca="1" si="436"/>
        <v>29.226932999999988</v>
      </c>
      <c r="U985" s="311">
        <f t="shared" ca="1" si="437"/>
        <v>0</v>
      </c>
      <c r="V985" s="306">
        <f t="shared" ca="1" si="438"/>
        <v>1.2266609734733276</v>
      </c>
      <c r="W985" s="304">
        <f t="shared" ca="1" si="439"/>
        <v>27.786109632199967</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0.46670500614241561</v>
      </c>
      <c r="AH985" s="304">
        <f t="shared" ca="1" si="463"/>
        <v>-9.3263705564685928</v>
      </c>
    </row>
    <row r="986" spans="1:34" x14ac:dyDescent="0.2">
      <c r="A986" s="347">
        <f t="shared" ca="1" si="441"/>
        <v>1E-4</v>
      </c>
      <c r="B986" s="304">
        <f t="shared" ca="1" si="442"/>
        <v>36.846600000001757</v>
      </c>
      <c r="D986" s="306">
        <f t="shared" ca="1" si="443"/>
        <v>-0.54759526525971436</v>
      </c>
      <c r="E986" s="307">
        <f t="shared" ca="1" si="444"/>
        <v>-0.49970117445887041</v>
      </c>
      <c r="F986" s="304">
        <f t="shared" ca="1" si="445"/>
        <v>0.74132438128691769</v>
      </c>
      <c r="G986" s="306">
        <f t="shared" ca="1" si="446"/>
        <v>6.1752918641503172</v>
      </c>
      <c r="H986" s="307">
        <f t="shared" ca="1" si="447"/>
        <v>-104.99424196785043</v>
      </c>
      <c r="I986" s="304">
        <f t="shared" ca="1" si="448"/>
        <v>105.17568671518606</v>
      </c>
      <c r="J986" s="306">
        <f t="shared" ca="1" si="449"/>
        <v>745.87074281998321</v>
      </c>
      <c r="K986" s="307">
        <f t="shared" ca="1" si="450"/>
        <v>-13.560280499089451</v>
      </c>
      <c r="L986" s="304">
        <f t="shared" ca="1" si="435"/>
        <v>745.99399877079941</v>
      </c>
      <c r="M986" s="306">
        <f t="shared" ca="1" si="451"/>
        <v>-1.5120484770887448</v>
      </c>
      <c r="N986" s="304">
        <f t="shared" ca="1" si="452"/>
        <v>-86.633996156368624</v>
      </c>
      <c r="P986" s="310">
        <f t="shared" ca="1" si="453"/>
        <v>23</v>
      </c>
      <c r="Q986" s="304">
        <f t="shared" ca="1" si="454"/>
        <v>0</v>
      </c>
      <c r="R986" s="306">
        <f t="shared" ca="1" si="455"/>
        <v>0</v>
      </c>
      <c r="S986" s="307">
        <f t="shared" ca="1" si="456"/>
        <v>2.9792999999999985</v>
      </c>
      <c r="T986" s="304">
        <f t="shared" ca="1" si="436"/>
        <v>29.226932999999988</v>
      </c>
      <c r="U986" s="311">
        <f t="shared" ca="1" si="437"/>
        <v>0</v>
      </c>
      <c r="V986" s="306">
        <f t="shared" ca="1" si="438"/>
        <v>1.2266622613976792</v>
      </c>
      <c r="W986" s="304">
        <f t="shared" ca="1" si="439"/>
        <v>27.786163464682268</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0.46668725247109499</v>
      </c>
      <c r="AH986" s="304">
        <f t="shared" ca="1" si="463"/>
        <v>-9.3263886255831849</v>
      </c>
    </row>
    <row r="987" spans="1:34" x14ac:dyDescent="0.2">
      <c r="A987" s="347">
        <f t="shared" ca="1" si="441"/>
        <v>1E-4</v>
      </c>
      <c r="B987" s="304">
        <f t="shared" ca="1" si="442"/>
        <v>36.846700000001761</v>
      </c>
      <c r="D987" s="306">
        <f t="shared" ca="1" si="443"/>
        <v>-0.54759122740756427</v>
      </c>
      <c r="E987" s="307">
        <f t="shared" ca="1" si="444"/>
        <v>-0.49968283690784965</v>
      </c>
      <c r="F987" s="304">
        <f t="shared" ca="1" si="445"/>
        <v>0.74130903800911496</v>
      </c>
      <c r="G987" s="306">
        <f t="shared" ca="1" si="446"/>
        <v>6.1752371050275761</v>
      </c>
      <c r="H987" s="307">
        <f t="shared" ca="1" si="447"/>
        <v>-104.99429193613412</v>
      </c>
      <c r="I987" s="304">
        <f t="shared" ca="1" si="448"/>
        <v>105.17573338215173</v>
      </c>
      <c r="J987" s="306">
        <f t="shared" ca="1" si="449"/>
        <v>745.87074281998321</v>
      </c>
      <c r="K987" s="307">
        <f t="shared" ca="1" si="450"/>
        <v>-13.570779925784651</v>
      </c>
      <c r="L987" s="304">
        <f t="shared" ca="1" si="435"/>
        <v>745.99418969763269</v>
      </c>
      <c r="M987" s="306">
        <f t="shared" ca="1" si="451"/>
        <v>-1.5120490247292855</v>
      </c>
      <c r="N987" s="304">
        <f t="shared" ca="1" si="452"/>
        <v>-86.634027533860305</v>
      </c>
      <c r="P987" s="310">
        <f t="shared" ca="1" si="453"/>
        <v>23</v>
      </c>
      <c r="Q987" s="304">
        <f t="shared" ca="1" si="454"/>
        <v>0</v>
      </c>
      <c r="R987" s="306">
        <f t="shared" ca="1" si="455"/>
        <v>0</v>
      </c>
      <c r="S987" s="307">
        <f t="shared" ca="1" si="456"/>
        <v>2.9792999999999985</v>
      </c>
      <c r="T987" s="304">
        <f t="shared" ca="1" si="436"/>
        <v>29.226932999999988</v>
      </c>
      <c r="U987" s="311">
        <f t="shared" ca="1" si="437"/>
        <v>0</v>
      </c>
      <c r="V987" s="306">
        <f t="shared" ca="1" si="438"/>
        <v>1.2266635493239972</v>
      </c>
      <c r="W987" s="304">
        <f t="shared" ca="1" si="439"/>
        <v>27.786217296333778</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0.46666949907262101</v>
      </c>
      <c r="AH987" s="304">
        <f t="shared" ca="1" si="463"/>
        <v>-9.3264066944189175</v>
      </c>
    </row>
    <row r="988" spans="1:34" x14ac:dyDescent="0.2">
      <c r="A988" s="347">
        <f t="shared" ca="1" si="441"/>
        <v>1E-4</v>
      </c>
      <c r="B988" s="304">
        <f t="shared" ca="1" si="442"/>
        <v>36.846800000001764</v>
      </c>
      <c r="D988" s="306">
        <f t="shared" ca="1" si="443"/>
        <v>-0.54758718956886043</v>
      </c>
      <c r="E988" s="307">
        <f t="shared" ca="1" si="444"/>
        <v>-0.49966449963975634</v>
      </c>
      <c r="F988" s="304">
        <f t="shared" ca="1" si="445"/>
        <v>0.7412936950899901</v>
      </c>
      <c r="G988" s="306">
        <f t="shared" ca="1" si="446"/>
        <v>6.1751823463086195</v>
      </c>
      <c r="H988" s="307">
        <f t="shared" ca="1" si="447"/>
        <v>-104.99434190258408</v>
      </c>
      <c r="I988" s="304">
        <f t="shared" ca="1" si="448"/>
        <v>105.1757800473421</v>
      </c>
      <c r="J988" s="306">
        <f t="shared" ca="1" si="449"/>
        <v>745.87074281998321</v>
      </c>
      <c r="K988" s="307">
        <f t="shared" ca="1" si="450"/>
        <v>-13.581279357476587</v>
      </c>
      <c r="L988" s="304">
        <f t="shared" ca="1" si="435"/>
        <v>745.99438077228126</v>
      </c>
      <c r="M988" s="306">
        <f t="shared" ca="1" si="451"/>
        <v>-1.5120495723644842</v>
      </c>
      <c r="N988" s="304">
        <f t="shared" ca="1" si="452"/>
        <v>-86.634058911045898</v>
      </c>
      <c r="P988" s="310">
        <f t="shared" ca="1" si="453"/>
        <v>23</v>
      </c>
      <c r="Q988" s="304">
        <f t="shared" ca="1" si="454"/>
        <v>0</v>
      </c>
      <c r="R988" s="306">
        <f t="shared" ca="1" si="455"/>
        <v>0</v>
      </c>
      <c r="S988" s="307">
        <f t="shared" ca="1" si="456"/>
        <v>2.9792999999999985</v>
      </c>
      <c r="T988" s="304">
        <f t="shared" ca="1" si="436"/>
        <v>29.226932999999988</v>
      </c>
      <c r="U988" s="311">
        <f t="shared" ca="1" si="437"/>
        <v>0</v>
      </c>
      <c r="V988" s="306">
        <f t="shared" ca="1" si="438"/>
        <v>1.2266648372522815</v>
      </c>
      <c r="W988" s="304">
        <f t="shared" ca="1" si="439"/>
        <v>27.78627112715451</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0.466651745946983</v>
      </c>
      <c r="AH988" s="304">
        <f t="shared" ca="1" si="463"/>
        <v>-9.3264247629757975</v>
      </c>
    </row>
    <row r="989" spans="1:34" x14ac:dyDescent="0.2">
      <c r="A989" s="347">
        <f t="shared" ca="1" si="441"/>
        <v>1E-4</v>
      </c>
      <c r="B989" s="304">
        <f t="shared" ca="1" si="442"/>
        <v>36.846900000001767</v>
      </c>
      <c r="D989" s="306">
        <f t="shared" ca="1" si="443"/>
        <v>-0.54758315174359962</v>
      </c>
      <c r="E989" s="307">
        <f t="shared" ca="1" si="444"/>
        <v>-0.49964616265458872</v>
      </c>
      <c r="F989" s="304">
        <f t="shared" ca="1" si="445"/>
        <v>0.74127835252954055</v>
      </c>
      <c r="G989" s="306">
        <f t="shared" ca="1" si="446"/>
        <v>6.1751275879934449</v>
      </c>
      <c r="H989" s="307">
        <f t="shared" ca="1" si="447"/>
        <v>-104.99439186720035</v>
      </c>
      <c r="I989" s="304">
        <f t="shared" ca="1" si="448"/>
        <v>105.17582671075718</v>
      </c>
      <c r="J989" s="306">
        <f t="shared" ca="1" si="449"/>
        <v>745.87074281998321</v>
      </c>
      <c r="K989" s="307">
        <f t="shared" ca="1" si="450"/>
        <v>-13.591778794165077</v>
      </c>
      <c r="L989" s="304">
        <f t="shared" ca="1" si="435"/>
        <v>745.99457199474512</v>
      </c>
      <c r="M989" s="306">
        <f t="shared" ca="1" si="451"/>
        <v>-1.5120501199943408</v>
      </c>
      <c r="N989" s="304">
        <f t="shared" ca="1" si="452"/>
        <v>-86.634090287925417</v>
      </c>
      <c r="P989" s="310">
        <f t="shared" ca="1" si="453"/>
        <v>23</v>
      </c>
      <c r="Q989" s="304">
        <f t="shared" ca="1" si="454"/>
        <v>0</v>
      </c>
      <c r="R989" s="306">
        <f t="shared" ca="1" si="455"/>
        <v>0</v>
      </c>
      <c r="S989" s="307">
        <f t="shared" ca="1" si="456"/>
        <v>2.9792999999999985</v>
      </c>
      <c r="T989" s="304">
        <f t="shared" ca="1" si="436"/>
        <v>29.226932999999988</v>
      </c>
      <c r="U989" s="311">
        <f t="shared" ca="1" si="437"/>
        <v>0</v>
      </c>
      <c r="V989" s="306">
        <f t="shared" ca="1" si="438"/>
        <v>1.2266661251825315</v>
      </c>
      <c r="W989" s="304">
        <f t="shared" ca="1" si="439"/>
        <v>27.786324957144462</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0.46663399309418452</v>
      </c>
      <c r="AH989" s="304">
        <f t="shared" ca="1" si="463"/>
        <v>-9.3264428312538268</v>
      </c>
    </row>
    <row r="990" spans="1:34" x14ac:dyDescent="0.2">
      <c r="A990" s="347">
        <f t="shared" ca="1" si="441"/>
        <v>1E-4</v>
      </c>
      <c r="B990" s="304">
        <f t="shared" ca="1" si="442"/>
        <v>36.847000000001771</v>
      </c>
      <c r="D990" s="306">
        <f t="shared" ca="1" si="443"/>
        <v>-0.5475791139317846</v>
      </c>
      <c r="E990" s="307">
        <f t="shared" ca="1" si="444"/>
        <v>-0.49962782595234678</v>
      </c>
      <c r="F990" s="304">
        <f t="shared" ca="1" si="445"/>
        <v>0.74126301032776942</v>
      </c>
      <c r="G990" s="306">
        <f t="shared" ca="1" si="446"/>
        <v>6.1750728300820521</v>
      </c>
      <c r="H990" s="307">
        <f t="shared" ca="1" si="447"/>
        <v>-104.99444182998295</v>
      </c>
      <c r="I990" s="304">
        <f t="shared" ca="1" si="448"/>
        <v>105.17587337239701</v>
      </c>
      <c r="J990" s="306">
        <f t="shared" ca="1" si="449"/>
        <v>745.87074281998321</v>
      </c>
      <c r="K990" s="307">
        <f t="shared" ca="1" si="450"/>
        <v>-13.602278235849935</v>
      </c>
      <c r="L990" s="304">
        <f t="shared" ca="1" si="435"/>
        <v>745.9947633650246</v>
      </c>
      <c r="M990" s="306">
        <f t="shared" ca="1" si="451"/>
        <v>-1.5120506676188552</v>
      </c>
      <c r="N990" s="304">
        <f t="shared" ca="1" si="452"/>
        <v>-86.634121664498849</v>
      </c>
      <c r="P990" s="310">
        <f t="shared" ca="1" si="453"/>
        <v>23</v>
      </c>
      <c r="Q990" s="304">
        <f t="shared" ca="1" si="454"/>
        <v>0</v>
      </c>
      <c r="R990" s="306">
        <f t="shared" ca="1" si="455"/>
        <v>0</v>
      </c>
      <c r="S990" s="307">
        <f t="shared" ca="1" si="456"/>
        <v>2.9792999999999985</v>
      </c>
      <c r="T990" s="304">
        <f t="shared" ca="1" si="436"/>
        <v>29.226932999999988</v>
      </c>
      <c r="U990" s="311">
        <f t="shared" ca="1" si="437"/>
        <v>0</v>
      </c>
      <c r="V990" s="306">
        <f t="shared" ca="1" si="438"/>
        <v>1.2266674131147477</v>
      </c>
      <c r="W990" s="304">
        <f t="shared" ca="1" si="439"/>
        <v>27.786378786303665</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0.46661624051422379</v>
      </c>
      <c r="AH990" s="304">
        <f t="shared" ca="1" si="463"/>
        <v>-9.3264608992530036</v>
      </c>
    </row>
    <row r="991" spans="1:34" x14ac:dyDescent="0.2">
      <c r="A991" s="347">
        <f t="shared" ca="1" si="441"/>
        <v>1E-4</v>
      </c>
      <c r="B991" s="304">
        <f t="shared" ca="1" si="442"/>
        <v>36.847100000001774</v>
      </c>
      <c r="D991" s="306">
        <f t="shared" ca="1" si="443"/>
        <v>-0.54757507613341705</v>
      </c>
      <c r="E991" s="307">
        <f t="shared" ca="1" si="444"/>
        <v>-0.49960948953301809</v>
      </c>
      <c r="F991" s="304">
        <f t="shared" ca="1" si="445"/>
        <v>0.74124766848467083</v>
      </c>
      <c r="G991" s="306">
        <f t="shared" ca="1" si="446"/>
        <v>6.1750180725744386</v>
      </c>
      <c r="H991" s="307">
        <f t="shared" ca="1" si="447"/>
        <v>-104.9944917909319</v>
      </c>
      <c r="I991" s="304">
        <f t="shared" ca="1" si="448"/>
        <v>105.1759200322616</v>
      </c>
      <c r="J991" s="306">
        <f t="shared" ca="1" si="449"/>
        <v>745.87074281998321</v>
      </c>
      <c r="K991" s="307">
        <f t="shared" ca="1" si="450"/>
        <v>-13.612777682530981</v>
      </c>
      <c r="L991" s="304">
        <f t="shared" ca="1" si="435"/>
        <v>745.99495488311948</v>
      </c>
      <c r="M991" s="306">
        <f t="shared" ca="1" si="451"/>
        <v>-1.5120512152380279</v>
      </c>
      <c r="N991" s="304">
        <f t="shared" ca="1" si="452"/>
        <v>-86.634153040766222</v>
      </c>
      <c r="P991" s="310">
        <f t="shared" ca="1" si="453"/>
        <v>23</v>
      </c>
      <c r="Q991" s="304">
        <f t="shared" ca="1" si="454"/>
        <v>0</v>
      </c>
      <c r="R991" s="306">
        <f t="shared" ca="1" si="455"/>
        <v>0</v>
      </c>
      <c r="S991" s="307">
        <f t="shared" ca="1" si="456"/>
        <v>2.9792999999999985</v>
      </c>
      <c r="T991" s="304">
        <f t="shared" ca="1" si="436"/>
        <v>29.226932999999988</v>
      </c>
      <c r="U991" s="311">
        <f t="shared" ca="1" si="437"/>
        <v>0</v>
      </c>
      <c r="V991" s="306">
        <f t="shared" ca="1" si="438"/>
        <v>1.2266687010489301</v>
      </c>
      <c r="W991" s="304">
        <f t="shared" ca="1" si="439"/>
        <v>27.786432614632123</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0.4665984882070866</v>
      </c>
      <c r="AH991" s="304">
        <f t="shared" ca="1" si="463"/>
        <v>-9.3264789669733421</v>
      </c>
    </row>
    <row r="992" spans="1:34" x14ac:dyDescent="0.2">
      <c r="A992" s="347">
        <f t="shared" ca="1" si="441"/>
        <v>1E-4</v>
      </c>
      <c r="B992" s="304">
        <f t="shared" ca="1" si="442"/>
        <v>36.847200000001777</v>
      </c>
      <c r="D992" s="306">
        <f t="shared" ca="1" si="443"/>
        <v>-0.54757103834849319</v>
      </c>
      <c r="E992" s="307">
        <f t="shared" ca="1" si="444"/>
        <v>-0.49959115339660443</v>
      </c>
      <c r="F992" s="304">
        <f t="shared" ca="1" si="445"/>
        <v>0.74123232700024388</v>
      </c>
      <c r="G992" s="306">
        <f t="shared" ca="1" si="446"/>
        <v>6.1749633154706034</v>
      </c>
      <c r="H992" s="307">
        <f t="shared" ca="1" si="447"/>
        <v>-104.99454175004725</v>
      </c>
      <c r="I992" s="304">
        <f t="shared" ca="1" si="448"/>
        <v>105.175966690351</v>
      </c>
      <c r="J992" s="306">
        <f t="shared" ca="1" si="449"/>
        <v>745.87074281998321</v>
      </c>
      <c r="K992" s="307">
        <f t="shared" ca="1" si="450"/>
        <v>-13.623277134208029</v>
      </c>
      <c r="L992" s="304">
        <f t="shared" ca="1" si="435"/>
        <v>745.99514654903021</v>
      </c>
      <c r="M992" s="306">
        <f t="shared" ca="1" si="451"/>
        <v>-1.5120517628518586</v>
      </c>
      <c r="N992" s="304">
        <f t="shared" ca="1" si="452"/>
        <v>-86.634184416727535</v>
      </c>
      <c r="P992" s="310">
        <f t="shared" ca="1" si="453"/>
        <v>23</v>
      </c>
      <c r="Q992" s="304">
        <f t="shared" ca="1" si="454"/>
        <v>0</v>
      </c>
      <c r="R992" s="306">
        <f t="shared" ca="1" si="455"/>
        <v>0</v>
      </c>
      <c r="S992" s="307">
        <f t="shared" ca="1" si="456"/>
        <v>2.9792999999999985</v>
      </c>
      <c r="T992" s="304">
        <f t="shared" ca="1" si="436"/>
        <v>29.226932999999988</v>
      </c>
      <c r="U992" s="311">
        <f t="shared" ca="1" si="437"/>
        <v>0</v>
      </c>
      <c r="V992" s="306">
        <f t="shared" ca="1" si="438"/>
        <v>1.2266699889850783</v>
      </c>
      <c r="W992" s="304">
        <f t="shared" ca="1" si="439"/>
        <v>27.786486442129831</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0.46658073617277829</v>
      </c>
      <c r="AH992" s="304">
        <f t="shared" ca="1" si="463"/>
        <v>-9.3264970344148406</v>
      </c>
    </row>
    <row r="993" spans="1:34" x14ac:dyDescent="0.2">
      <c r="A993" s="347">
        <f t="shared" ca="1" si="441"/>
        <v>1E-4</v>
      </c>
      <c r="B993" s="304">
        <f t="shared" ca="1" si="442"/>
        <v>36.847300000001781</v>
      </c>
      <c r="D993" s="306">
        <f t="shared" ca="1" si="443"/>
        <v>-0.54756700057701624</v>
      </c>
      <c r="E993" s="307">
        <f t="shared" ca="1" si="444"/>
        <v>-0.49957281754310401</v>
      </c>
      <c r="F993" s="304">
        <f t="shared" ca="1" si="445"/>
        <v>0.74121698587449114</v>
      </c>
      <c r="G993" s="306">
        <f t="shared" ca="1" si="446"/>
        <v>6.1749085587705457</v>
      </c>
      <c r="H993" s="307">
        <f t="shared" ca="1" si="447"/>
        <v>-104.99459170732901</v>
      </c>
      <c r="I993" s="304">
        <f t="shared" ca="1" si="448"/>
        <v>105.17601334666521</v>
      </c>
      <c r="J993" s="306">
        <f t="shared" ca="1" si="449"/>
        <v>745.87074281998321</v>
      </c>
      <c r="K993" s="307">
        <f t="shared" ca="1" si="450"/>
        <v>-13.633776590880899</v>
      </c>
      <c r="L993" s="304">
        <f t="shared" ca="1" si="435"/>
        <v>745.99533836275646</v>
      </c>
      <c r="M993" s="306">
        <f t="shared" ca="1" si="451"/>
        <v>-1.5120523104603474</v>
      </c>
      <c r="N993" s="304">
        <f t="shared" ca="1" si="452"/>
        <v>-86.634215792382761</v>
      </c>
      <c r="P993" s="310">
        <f t="shared" ca="1" si="453"/>
        <v>23</v>
      </c>
      <c r="Q993" s="304">
        <f t="shared" ca="1" si="454"/>
        <v>0</v>
      </c>
      <c r="R993" s="306">
        <f t="shared" ca="1" si="455"/>
        <v>0</v>
      </c>
      <c r="S993" s="307">
        <f t="shared" ca="1" si="456"/>
        <v>2.9792999999999985</v>
      </c>
      <c r="T993" s="304">
        <f t="shared" ca="1" si="436"/>
        <v>29.226932999999988</v>
      </c>
      <c r="U993" s="311">
        <f t="shared" ca="1" si="437"/>
        <v>0</v>
      </c>
      <c r="V993" s="306">
        <f t="shared" ca="1" si="438"/>
        <v>1.2266712769231924</v>
      </c>
      <c r="W993" s="304">
        <f t="shared" ca="1" si="439"/>
        <v>27.786540268796809</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0.46656298441129174</v>
      </c>
      <c r="AH993" s="304">
        <f t="shared" ca="1" si="463"/>
        <v>-9.3265151015775007</v>
      </c>
    </row>
    <row r="994" spans="1:34" x14ac:dyDescent="0.2">
      <c r="A994" s="347">
        <f t="shared" ca="1" si="441"/>
        <v>1E-4</v>
      </c>
      <c r="B994" s="304">
        <f t="shared" ca="1" si="442"/>
        <v>36.847400000001784</v>
      </c>
      <c r="D994" s="306">
        <f t="shared" ca="1" si="443"/>
        <v>-0.54756296281898675</v>
      </c>
      <c r="E994" s="307">
        <f t="shared" ca="1" si="444"/>
        <v>-0.49955448197251329</v>
      </c>
      <c r="F994" s="304">
        <f t="shared" ca="1" si="445"/>
        <v>0.74120164510741149</v>
      </c>
      <c r="G994" s="306">
        <f t="shared" ca="1" si="446"/>
        <v>6.1748538024742636</v>
      </c>
      <c r="H994" s="307">
        <f t="shared" ca="1" si="447"/>
        <v>-104.9946416627772</v>
      </c>
      <c r="I994" s="304">
        <f t="shared" ca="1" si="448"/>
        <v>105.17606000120428</v>
      </c>
      <c r="J994" s="306">
        <f t="shared" ca="1" si="449"/>
        <v>745.87074281998321</v>
      </c>
      <c r="K994" s="307">
        <f t="shared" ca="1" si="450"/>
        <v>-13.644276052549404</v>
      </c>
      <c r="L994" s="304">
        <f t="shared" ca="1" si="435"/>
        <v>745.99553032429867</v>
      </c>
      <c r="M994" s="306">
        <f t="shared" ca="1" si="451"/>
        <v>-1.5120528580634947</v>
      </c>
      <c r="N994" s="304">
        <f t="shared" ca="1" si="452"/>
        <v>-86.634247167731957</v>
      </c>
      <c r="P994" s="310">
        <f t="shared" ca="1" si="453"/>
        <v>23</v>
      </c>
      <c r="Q994" s="304">
        <f t="shared" ca="1" si="454"/>
        <v>0</v>
      </c>
      <c r="R994" s="306">
        <f t="shared" ca="1" si="455"/>
        <v>0</v>
      </c>
      <c r="S994" s="307">
        <f t="shared" ca="1" si="456"/>
        <v>2.9792999999999985</v>
      </c>
      <c r="T994" s="304">
        <f t="shared" ca="1" si="436"/>
        <v>29.226932999999988</v>
      </c>
      <c r="U994" s="311">
        <f t="shared" ca="1" si="437"/>
        <v>0</v>
      </c>
      <c r="V994" s="306">
        <f t="shared" ca="1" si="438"/>
        <v>1.226672564863273</v>
      </c>
      <c r="W994" s="304">
        <f t="shared" ca="1" si="439"/>
        <v>27.78659409463307</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0.4665452329226305</v>
      </c>
      <c r="AH994" s="304">
        <f t="shared" ca="1" si="463"/>
        <v>-9.3265331684613244</v>
      </c>
    </row>
    <row r="995" spans="1:34" x14ac:dyDescent="0.2">
      <c r="A995" s="347">
        <f t="shared" ca="1" si="441"/>
        <v>1E-4</v>
      </c>
      <c r="B995" s="304">
        <f t="shared" ca="1" si="442"/>
        <v>36.847500000001787</v>
      </c>
      <c r="D995" s="306">
        <f t="shared" ca="1" si="443"/>
        <v>-0.54755892507440218</v>
      </c>
      <c r="E995" s="307">
        <f t="shared" ca="1" si="444"/>
        <v>-0.49953614668482693</v>
      </c>
      <c r="F995" s="304">
        <f t="shared" ca="1" si="445"/>
        <v>0.7411863046990006</v>
      </c>
      <c r="G995" s="306">
        <f t="shared" ca="1" si="446"/>
        <v>6.1747990465817564</v>
      </c>
      <c r="H995" s="307">
        <f t="shared" ca="1" si="447"/>
        <v>-104.99469161639186</v>
      </c>
      <c r="I995" s="304">
        <f t="shared" ca="1" si="448"/>
        <v>105.1761066539682</v>
      </c>
      <c r="J995" s="306">
        <f t="shared" ca="1" si="449"/>
        <v>745.87074281998321</v>
      </c>
      <c r="K995" s="307">
        <f t="shared" ca="1" si="450"/>
        <v>-13.654775519213363</v>
      </c>
      <c r="L995" s="304">
        <f t="shared" ca="1" si="435"/>
        <v>745.99572243365685</v>
      </c>
      <c r="M995" s="306">
        <f t="shared" ca="1" si="451"/>
        <v>-1.5120534056613</v>
      </c>
      <c r="N995" s="304">
        <f t="shared" ca="1" si="452"/>
        <v>-86.634278542775064</v>
      </c>
      <c r="P995" s="310">
        <f t="shared" ca="1" si="453"/>
        <v>23</v>
      </c>
      <c r="Q995" s="304">
        <f t="shared" ca="1" si="454"/>
        <v>0</v>
      </c>
      <c r="R995" s="306">
        <f t="shared" ca="1" si="455"/>
        <v>0</v>
      </c>
      <c r="S995" s="307">
        <f t="shared" ca="1" si="456"/>
        <v>2.9792999999999985</v>
      </c>
      <c r="T995" s="304">
        <f t="shared" ca="1" si="436"/>
        <v>29.226932999999988</v>
      </c>
      <c r="U995" s="311">
        <f t="shared" ca="1" si="437"/>
        <v>0</v>
      </c>
      <c r="V995" s="306">
        <f t="shared" ca="1" si="438"/>
        <v>1.2266738528053194</v>
      </c>
      <c r="W995" s="304">
        <f t="shared" ca="1" si="439"/>
        <v>27.786647919638611</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0.46652748170678393</v>
      </c>
      <c r="AH995" s="304">
        <f t="shared" ca="1" si="463"/>
        <v>-9.3265512350663187</v>
      </c>
    </row>
    <row r="996" spans="1:34" x14ac:dyDescent="0.2">
      <c r="A996" s="347">
        <f t="shared" ca="1" si="441"/>
        <v>1E-4</v>
      </c>
      <c r="B996" s="304">
        <f t="shared" ca="1" si="442"/>
        <v>36.84760000000179</v>
      </c>
      <c r="D996" s="306">
        <f t="shared" ca="1" si="443"/>
        <v>-0.54755488734326696</v>
      </c>
      <c r="E996" s="307">
        <f t="shared" ca="1" si="444"/>
        <v>-0.49951781168004317</v>
      </c>
      <c r="F996" s="304">
        <f t="shared" ca="1" si="445"/>
        <v>0.74117096464926147</v>
      </c>
      <c r="G996" s="306">
        <f t="shared" ca="1" si="446"/>
        <v>6.1747442910930221</v>
      </c>
      <c r="H996" s="307">
        <f t="shared" ca="1" si="447"/>
        <v>-104.99474156817303</v>
      </c>
      <c r="I996" s="304">
        <f t="shared" ca="1" si="448"/>
        <v>105.17615330495704</v>
      </c>
      <c r="J996" s="306">
        <f t="shared" ca="1" si="449"/>
        <v>745.87074281998321</v>
      </c>
      <c r="K996" s="307">
        <f t="shared" ca="1" si="450"/>
        <v>-13.665274990872591</v>
      </c>
      <c r="L996" s="304">
        <f t="shared" ca="1" si="435"/>
        <v>745.995914690831</v>
      </c>
      <c r="M996" s="306">
        <f t="shared" ca="1" si="451"/>
        <v>-1.5120539532537638</v>
      </c>
      <c r="N996" s="304">
        <f t="shared" ca="1" si="452"/>
        <v>-86.634309917512141</v>
      </c>
      <c r="P996" s="310">
        <f t="shared" ca="1" si="453"/>
        <v>23</v>
      </c>
      <c r="Q996" s="304">
        <f t="shared" ca="1" si="454"/>
        <v>0</v>
      </c>
      <c r="R996" s="306">
        <f t="shared" ca="1" si="455"/>
        <v>0</v>
      </c>
      <c r="S996" s="307">
        <f t="shared" ca="1" si="456"/>
        <v>2.9792999999999985</v>
      </c>
      <c r="T996" s="304">
        <f t="shared" ca="1" si="436"/>
        <v>29.226932999999988</v>
      </c>
      <c r="U996" s="311">
        <f t="shared" ca="1" si="437"/>
        <v>0</v>
      </c>
      <c r="V996" s="306">
        <f t="shared" ca="1" si="438"/>
        <v>1.2266751407493313</v>
      </c>
      <c r="W996" s="304">
        <f t="shared" ca="1" si="439"/>
        <v>27.786701743813435</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0.46650973076375557</v>
      </c>
      <c r="AH996" s="304">
        <f t="shared" ca="1" si="463"/>
        <v>-9.3265693013924835</v>
      </c>
    </row>
    <row r="997" spans="1:34" x14ac:dyDescent="0.2">
      <c r="A997" s="347">
        <f t="shared" ca="1" si="441"/>
        <v>1E-4</v>
      </c>
      <c r="B997" s="304">
        <f t="shared" ca="1" si="442"/>
        <v>36.847700000001794</v>
      </c>
      <c r="D997" s="306">
        <f t="shared" ca="1" si="443"/>
        <v>-0.54755084962557798</v>
      </c>
      <c r="E997" s="307">
        <f t="shared" ca="1" si="444"/>
        <v>-0.49949947695816554</v>
      </c>
      <c r="F997" s="304">
        <f t="shared" ca="1" si="445"/>
        <v>0.74115562495819542</v>
      </c>
      <c r="G997" s="306">
        <f t="shared" ca="1" si="446"/>
        <v>6.1746895360080591</v>
      </c>
      <c r="H997" s="307">
        <f t="shared" ca="1" si="447"/>
        <v>-104.99479151812072</v>
      </c>
      <c r="I997" s="304">
        <f t="shared" ca="1" si="448"/>
        <v>105.17619995417081</v>
      </c>
      <c r="J997" s="306">
        <f t="shared" ca="1" si="449"/>
        <v>745.87074281998321</v>
      </c>
      <c r="K997" s="307">
        <f t="shared" ca="1" si="450"/>
        <v>-13.675774467526907</v>
      </c>
      <c r="L997" s="304">
        <f t="shared" ca="1" si="435"/>
        <v>745.99610709582134</v>
      </c>
      <c r="M997" s="306">
        <f t="shared" ca="1" si="451"/>
        <v>-1.5120545008408859</v>
      </c>
      <c r="N997" s="304">
        <f t="shared" ca="1" si="452"/>
        <v>-86.634341291943144</v>
      </c>
      <c r="P997" s="310">
        <f t="shared" ca="1" si="453"/>
        <v>23</v>
      </c>
      <c r="Q997" s="304">
        <f t="shared" ca="1" si="454"/>
        <v>0</v>
      </c>
      <c r="R997" s="306">
        <f t="shared" ca="1" si="455"/>
        <v>0</v>
      </c>
      <c r="S997" s="307">
        <f t="shared" ca="1" si="456"/>
        <v>2.9792999999999985</v>
      </c>
      <c r="T997" s="304">
        <f t="shared" ca="1" si="436"/>
        <v>29.226932999999988</v>
      </c>
      <c r="U997" s="311">
        <f t="shared" ca="1" si="437"/>
        <v>0</v>
      </c>
      <c r="V997" s="306">
        <f t="shared" ca="1" si="438"/>
        <v>1.2266764286953096</v>
      </c>
      <c r="W997" s="304">
        <f t="shared" ca="1" si="439"/>
        <v>27.786755567157595</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0.46649198009354365</v>
      </c>
      <c r="AH997" s="304">
        <f t="shared" ca="1" si="463"/>
        <v>-9.3265873674398172</v>
      </c>
    </row>
    <row r="998" spans="1:34" x14ac:dyDescent="0.2">
      <c r="A998" s="347">
        <f t="shared" ca="1" si="441"/>
        <v>1E-4</v>
      </c>
      <c r="B998" s="304">
        <f t="shared" ca="1" si="442"/>
        <v>36.847800000001797</v>
      </c>
      <c r="D998" s="306">
        <f t="shared" ca="1" si="443"/>
        <v>-0.54754681192133903</v>
      </c>
      <c r="E998" s="307">
        <f t="shared" ca="1" si="444"/>
        <v>-0.49948114251917097</v>
      </c>
      <c r="F998" s="304">
        <f t="shared" ca="1" si="445"/>
        <v>0.74114028562579071</v>
      </c>
      <c r="G998" s="306">
        <f t="shared" ca="1" si="446"/>
        <v>6.1746347813268674</v>
      </c>
      <c r="H998" s="307">
        <f t="shared" ca="1" si="447"/>
        <v>-104.99484146623497</v>
      </c>
      <c r="I998" s="304">
        <f t="shared" ca="1" si="448"/>
        <v>105.17624660160956</v>
      </c>
      <c r="J998" s="306">
        <f t="shared" ca="1" si="449"/>
        <v>745.87074281998321</v>
      </c>
      <c r="K998" s="307">
        <f t="shared" ca="1" si="450"/>
        <v>-13.686273949176124</v>
      </c>
      <c r="L998" s="304">
        <f t="shared" ca="1" si="435"/>
        <v>745.99629964862788</v>
      </c>
      <c r="M998" s="306">
        <f t="shared" ca="1" si="451"/>
        <v>-1.5120550484226667</v>
      </c>
      <c r="N998" s="304">
        <f t="shared" ca="1" si="452"/>
        <v>-86.634372666068131</v>
      </c>
      <c r="P998" s="310">
        <f t="shared" ca="1" si="453"/>
        <v>23</v>
      </c>
      <c r="Q998" s="304">
        <f t="shared" ca="1" si="454"/>
        <v>0</v>
      </c>
      <c r="R998" s="306">
        <f t="shared" ca="1" si="455"/>
        <v>0</v>
      </c>
      <c r="S998" s="307">
        <f t="shared" ca="1" si="456"/>
        <v>2.9792999999999985</v>
      </c>
      <c r="T998" s="304">
        <f t="shared" ca="1" si="436"/>
        <v>29.226932999999988</v>
      </c>
      <c r="U998" s="311">
        <f t="shared" ca="1" si="437"/>
        <v>0</v>
      </c>
      <c r="V998" s="306">
        <f t="shared" ca="1" si="438"/>
        <v>1.2266777166432536</v>
      </c>
      <c r="W998" s="304">
        <f t="shared" ca="1" si="439"/>
        <v>27.78680938967107</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0.46647422969612862</v>
      </c>
      <c r="AH998" s="304">
        <f t="shared" ca="1" si="463"/>
        <v>-9.326605433208341</v>
      </c>
    </row>
    <row r="999" spans="1:34" x14ac:dyDescent="0.2">
      <c r="A999" s="347">
        <f t="shared" ca="1" si="441"/>
        <v>1E-4</v>
      </c>
      <c r="B999" s="304">
        <f t="shared" ca="1" si="442"/>
        <v>36.8479000000018</v>
      </c>
      <c r="D999" s="306">
        <f t="shared" ca="1" si="443"/>
        <v>-0.5475427742305462</v>
      </c>
      <c r="E999" s="307">
        <f t="shared" ca="1" si="444"/>
        <v>-0.49946280836307189</v>
      </c>
      <c r="F999" s="304">
        <f t="shared" ca="1" si="445"/>
        <v>0.74112494665205375</v>
      </c>
      <c r="G999" s="306">
        <f t="shared" ca="1" si="446"/>
        <v>6.1745800270494442</v>
      </c>
      <c r="H999" s="307">
        <f t="shared" ca="1" si="447"/>
        <v>-104.99489141251581</v>
      </c>
      <c r="I999" s="304">
        <f t="shared" ca="1" si="448"/>
        <v>105.17629324727329</v>
      </c>
      <c r="J999" s="306">
        <f t="shared" ca="1" si="449"/>
        <v>745.87074281998321</v>
      </c>
      <c r="K999" s="307">
        <f t="shared" ca="1" si="450"/>
        <v>-13.696773435820061</v>
      </c>
      <c r="L999" s="304">
        <f t="shared" ca="1" si="435"/>
        <v>745.99649234925073</v>
      </c>
      <c r="M999" s="306">
        <f t="shared" ca="1" si="451"/>
        <v>-1.5120555959991058</v>
      </c>
      <c r="N999" s="304">
        <f t="shared" ca="1" si="452"/>
        <v>-86.634404039887045</v>
      </c>
      <c r="P999" s="310">
        <f t="shared" ca="1" si="453"/>
        <v>23</v>
      </c>
      <c r="Q999" s="304">
        <f t="shared" ca="1" si="454"/>
        <v>0</v>
      </c>
      <c r="R999" s="306">
        <f t="shared" ca="1" si="455"/>
        <v>0</v>
      </c>
      <c r="S999" s="307">
        <f t="shared" ca="1" si="456"/>
        <v>2.9792999999999985</v>
      </c>
      <c r="T999" s="304">
        <f t="shared" ca="1" si="436"/>
        <v>29.226932999999988</v>
      </c>
      <c r="U999" s="311">
        <f t="shared" ca="1" si="437"/>
        <v>0</v>
      </c>
      <c r="V999" s="306">
        <f t="shared" ca="1" si="438"/>
        <v>1.2266790045931633</v>
      </c>
      <c r="W999" s="304">
        <f t="shared" ca="1" si="439"/>
        <v>27.786863211353865</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0.46645647957152292</v>
      </c>
      <c r="AH999" s="304">
        <f t="shared" ca="1" si="463"/>
        <v>-9.3266234986980443</v>
      </c>
    </row>
    <row r="1000" spans="1:34" x14ac:dyDescent="0.2">
      <c r="A1000" s="347">
        <f t="shared" ca="1" si="441"/>
        <v>1E-4</v>
      </c>
      <c r="B1000" s="304">
        <f t="shared" ca="1" si="442"/>
        <v>36.848000000001804</v>
      </c>
      <c r="D1000" s="306">
        <f t="shared" ca="1" si="443"/>
        <v>-0.54753873655320473</v>
      </c>
      <c r="E1000" s="307">
        <f t="shared" ca="1" si="444"/>
        <v>-0.49944447448986296</v>
      </c>
      <c r="F1000" s="304">
        <f t="shared" ca="1" si="445"/>
        <v>0.741109608036986</v>
      </c>
      <c r="G1000" s="306">
        <f t="shared" ca="1" si="446"/>
        <v>6.1745252731757887</v>
      </c>
      <c r="H1000" s="307">
        <f t="shared" ca="1" si="447"/>
        <v>-104.99494135696327</v>
      </c>
      <c r="I1000" s="304">
        <f t="shared" ca="1" si="448"/>
        <v>105.17633989116204</v>
      </c>
      <c r="J1000" s="306">
        <f t="shared" ca="1" si="449"/>
        <v>745.87074281998321</v>
      </c>
      <c r="K1000" s="307">
        <f t="shared" ca="1" si="450"/>
        <v>-13.707272927458535</v>
      </c>
      <c r="L1000" s="304">
        <f t="shared" ca="1" si="435"/>
        <v>745.99668519769</v>
      </c>
      <c r="M1000" s="306">
        <f t="shared" ca="1" si="451"/>
        <v>-1.5120561435702038</v>
      </c>
      <c r="N1000" s="304">
        <f t="shared" ca="1" si="452"/>
        <v>-86.634435413399942</v>
      </c>
      <c r="P1000" s="310">
        <f t="shared" ca="1" si="453"/>
        <v>23</v>
      </c>
      <c r="Q1000" s="304">
        <f t="shared" ca="1" si="454"/>
        <v>0</v>
      </c>
      <c r="R1000" s="306">
        <f t="shared" ca="1" si="455"/>
        <v>0</v>
      </c>
      <c r="S1000" s="307">
        <f t="shared" ca="1" si="456"/>
        <v>2.9792999999999985</v>
      </c>
      <c r="T1000" s="304">
        <f t="shared" ca="1" si="436"/>
        <v>29.226932999999988</v>
      </c>
      <c r="U1000" s="311">
        <f t="shared" ca="1" si="437"/>
        <v>0</v>
      </c>
      <c r="V1000" s="306">
        <f t="shared" ca="1" si="438"/>
        <v>1.2266802925450395</v>
      </c>
      <c r="W1000" s="304">
        <f t="shared" ca="1" si="439"/>
        <v>27.786917032206016</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0.46643872971972122</v>
      </c>
      <c r="AH1000" s="304">
        <f t="shared" ca="1" si="463"/>
        <v>-9.3266415639089306</v>
      </c>
    </row>
    <row r="1001" spans="1:34" x14ac:dyDescent="0.2">
      <c r="A1001" s="347">
        <f t="shared" ca="1" si="441"/>
        <v>1E-4</v>
      </c>
      <c r="B1001" s="304">
        <f t="shared" ca="1" si="442"/>
        <v>36.848100000001807</v>
      </c>
      <c r="D1001" s="306">
        <f t="shared" ca="1" si="443"/>
        <v>-0.54753469888930961</v>
      </c>
      <c r="E1001" s="307">
        <f t="shared" ca="1" si="444"/>
        <v>-0.49942614089953352</v>
      </c>
      <c r="F1001" s="304">
        <f t="shared" ca="1" si="445"/>
        <v>0.74109426978057769</v>
      </c>
      <c r="G1001" s="306">
        <f t="shared" ca="1" si="446"/>
        <v>6.1744705197059</v>
      </c>
      <c r="H1001" s="307">
        <f t="shared" ca="1" si="447"/>
        <v>-104.99499129957735</v>
      </c>
      <c r="I1001" s="304">
        <f t="shared" ca="1" si="448"/>
        <v>105.1763865332758</v>
      </c>
      <c r="J1001" s="306">
        <f t="shared" ca="1" si="449"/>
        <v>745.87074281998321</v>
      </c>
      <c r="K1001" s="307">
        <f t="shared" ca="1" si="450"/>
        <v>-13.717772424091361</v>
      </c>
      <c r="L1001" s="304">
        <f t="shared" ca="1" si="435"/>
        <v>745.99687819394569</v>
      </c>
      <c r="M1001" s="306">
        <f t="shared" ca="1" si="451"/>
        <v>-1.5120566911359603</v>
      </c>
      <c r="N1001" s="304">
        <f t="shared" ca="1" si="452"/>
        <v>-86.634466786606794</v>
      </c>
      <c r="P1001" s="310">
        <f t="shared" ca="1" si="453"/>
        <v>23</v>
      </c>
      <c r="Q1001" s="304">
        <f t="shared" ca="1" si="454"/>
        <v>0</v>
      </c>
      <c r="R1001" s="306">
        <f t="shared" ca="1" si="455"/>
        <v>0</v>
      </c>
      <c r="S1001" s="307">
        <f t="shared" ca="1" si="456"/>
        <v>2.9792999999999985</v>
      </c>
      <c r="T1001" s="304">
        <f t="shared" ca="1" si="436"/>
        <v>29.226932999999988</v>
      </c>
      <c r="U1001" s="311">
        <f t="shared" ca="1" si="437"/>
        <v>0</v>
      </c>
      <c r="V1001" s="306">
        <f t="shared" ca="1" si="438"/>
        <v>1.2266815804988809</v>
      </c>
      <c r="W1001" s="304">
        <f t="shared" ca="1" si="439"/>
        <v>27.78697085222748</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0.46642098014071109</v>
      </c>
      <c r="AH1001" s="304">
        <f t="shared" ca="1" si="463"/>
        <v>-9.3266596288410124</v>
      </c>
    </row>
    <row r="1002" spans="1:34" x14ac:dyDescent="0.2">
      <c r="A1002" s="347">
        <f t="shared" ca="1" si="441"/>
        <v>1E-4</v>
      </c>
      <c r="B1002" s="304">
        <f t="shared" ca="1" si="442"/>
        <v>36.84820000000181</v>
      </c>
      <c r="D1002" s="306">
        <f t="shared" ca="1" si="443"/>
        <v>-0.54753066123886507</v>
      </c>
      <c r="E1002" s="307">
        <f t="shared" ca="1" si="444"/>
        <v>-0.49940780759209602</v>
      </c>
      <c r="F1002" s="304">
        <f t="shared" ca="1" si="445"/>
        <v>0.74107893188284124</v>
      </c>
      <c r="G1002" s="306">
        <f t="shared" ca="1" si="446"/>
        <v>6.1744157666397763</v>
      </c>
      <c r="H1002" s="307">
        <f t="shared" ca="1" si="447"/>
        <v>-104.99504124035811</v>
      </c>
      <c r="I1002" s="304">
        <f t="shared" ca="1" si="448"/>
        <v>105.17643317361465</v>
      </c>
      <c r="J1002" s="306">
        <f t="shared" ca="1" si="449"/>
        <v>745.87074281998321</v>
      </c>
      <c r="K1002" s="307">
        <f t="shared" ca="1" si="450"/>
        <v>-13.728271925718358</v>
      </c>
      <c r="L1002" s="304">
        <f t="shared" ca="1" si="435"/>
        <v>745.99707133801803</v>
      </c>
      <c r="M1002" s="306">
        <f t="shared" ca="1" si="451"/>
        <v>-1.5120572386963755</v>
      </c>
      <c r="N1002" s="304">
        <f t="shared" ca="1" si="452"/>
        <v>-86.634498159507615</v>
      </c>
      <c r="P1002" s="310">
        <f t="shared" ca="1" si="453"/>
        <v>23</v>
      </c>
      <c r="Q1002" s="304">
        <f t="shared" ca="1" si="454"/>
        <v>0</v>
      </c>
      <c r="R1002" s="306">
        <f t="shared" ca="1" si="455"/>
        <v>0</v>
      </c>
      <c r="S1002" s="307">
        <f t="shared" ca="1" si="456"/>
        <v>2.9792999999999985</v>
      </c>
      <c r="T1002" s="304">
        <f t="shared" ca="1" si="436"/>
        <v>29.226932999999988</v>
      </c>
      <c r="U1002" s="311">
        <f t="shared" ca="1" si="437"/>
        <v>0</v>
      </c>
      <c r="V1002" s="306">
        <f t="shared" ca="1" si="438"/>
        <v>1.2266828684546889</v>
      </c>
      <c r="W1002" s="304">
        <f t="shared" ca="1" si="439"/>
        <v>27.78702467141834</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0.46640323083450674</v>
      </c>
      <c r="AH1002" s="304">
        <f t="shared" ca="1" si="463"/>
        <v>-9.3266776934942754</v>
      </c>
    </row>
    <row r="1003" spans="1:34" x14ac:dyDescent="0.2">
      <c r="A1003" s="347">
        <f t="shared" ca="1" si="441"/>
        <v>1E-4</v>
      </c>
      <c r="B1003" s="304">
        <f t="shared" ca="1" si="442"/>
        <v>36.848300000001814</v>
      </c>
      <c r="D1003" s="306">
        <f t="shared" ca="1" si="443"/>
        <v>-0.54752662360187143</v>
      </c>
      <c r="E1003" s="307">
        <f t="shared" ca="1" si="444"/>
        <v>-0.49938947456752558</v>
      </c>
      <c r="F1003" s="304">
        <f t="shared" ca="1" si="445"/>
        <v>0.74106359434376123</v>
      </c>
      <c r="G1003" s="306">
        <f t="shared" ca="1" si="446"/>
        <v>6.1743610139774159</v>
      </c>
      <c r="H1003" s="307">
        <f t="shared" ca="1" si="447"/>
        <v>-104.99509117930556</v>
      </c>
      <c r="I1003" s="304">
        <f t="shared" ca="1" si="448"/>
        <v>105.1764798121786</v>
      </c>
      <c r="J1003" s="306">
        <f t="shared" ca="1" si="449"/>
        <v>745.87074281998321</v>
      </c>
      <c r="K1003" s="307">
        <f t="shared" ca="1" si="450"/>
        <v>-13.738771432339341</v>
      </c>
      <c r="L1003" s="304">
        <f t="shared" ca="1" si="435"/>
        <v>745.99726462990714</v>
      </c>
      <c r="M1003" s="306">
        <f t="shared" ca="1" si="451"/>
        <v>-1.5120577862514497</v>
      </c>
      <c r="N1003" s="304">
        <f t="shared" ca="1" si="452"/>
        <v>-86.63452953210242</v>
      </c>
      <c r="P1003" s="310">
        <f t="shared" ca="1" si="453"/>
        <v>23</v>
      </c>
      <c r="Q1003" s="304">
        <f t="shared" ca="1" si="454"/>
        <v>0</v>
      </c>
      <c r="R1003" s="306">
        <f t="shared" ca="1" si="455"/>
        <v>0</v>
      </c>
      <c r="S1003" s="307">
        <f t="shared" ca="1" si="456"/>
        <v>2.9792999999999985</v>
      </c>
      <c r="T1003" s="304">
        <f t="shared" ca="1" si="436"/>
        <v>29.226932999999988</v>
      </c>
      <c r="U1003" s="311">
        <f t="shared" ca="1" si="437"/>
        <v>0</v>
      </c>
      <c r="V1003" s="306">
        <f ca="1">Rho_moyen*(20000-Alt_rampe-pos_z)/(20000+Alt_rampe+pos_z)</f>
        <v>1.226684156412462</v>
      </c>
      <c r="W1003" s="304">
        <f t="shared" ca="1" si="439"/>
        <v>27.787078489778541</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0.4663854818010833</v>
      </c>
      <c r="AH1003" s="304">
        <f t="shared" ca="1" si="463"/>
        <v>-9.3266957578687464</v>
      </c>
    </row>
    <row r="1004" spans="1:34" x14ac:dyDescent="0.2">
      <c r="A1004" s="348">
        <f t="shared" ca="1" si="441"/>
        <v>1E-4</v>
      </c>
      <c r="B1004" s="305">
        <f t="shared" ca="1" si="442"/>
        <v>36.848400000001817</v>
      </c>
      <c r="D1004" s="308">
        <f t="shared" ca="1" si="443"/>
        <v>-0.54752258597832615</v>
      </c>
      <c r="E1004" s="309">
        <f t="shared" ca="1" si="444"/>
        <v>-0.49937114182583819</v>
      </c>
      <c r="F1004" s="305">
        <f t="shared" ca="1" si="445"/>
        <v>0.74104825716334766</v>
      </c>
      <c r="G1004" s="308">
        <f t="shared" ca="1" si="446"/>
        <v>6.1743062617188178</v>
      </c>
      <c r="H1004" s="309">
        <f t="shared" ca="1" si="447"/>
        <v>-104.99514111641975</v>
      </c>
      <c r="I1004" s="305">
        <f t="shared" ca="1" si="448"/>
        <v>105.17652644896768</v>
      </c>
      <c r="J1004" s="308">
        <f t="shared" ca="1" si="449"/>
        <v>745.87074281998321</v>
      </c>
      <c r="K1004" s="309">
        <f t="shared" ca="1" si="450"/>
        <v>-13.749270943954127</v>
      </c>
      <c r="L1004" s="305">
        <f t="shared" ca="1" si="435"/>
        <v>745.99745806961289</v>
      </c>
      <c r="M1004" s="308">
        <f t="shared" ca="1" si="451"/>
        <v>-1.5120583338011826</v>
      </c>
      <c r="N1004" s="305">
        <f t="shared" ca="1" si="452"/>
        <v>-86.634560904391194</v>
      </c>
      <c r="P1004" s="312">
        <f t="shared" ca="1" si="453"/>
        <v>23</v>
      </c>
      <c r="Q1004" s="305">
        <f t="shared" ca="1" si="454"/>
        <v>0</v>
      </c>
      <c r="R1004" s="308">
        <f t="shared" ca="1" si="455"/>
        <v>0</v>
      </c>
      <c r="S1004" s="309">
        <f t="shared" ca="1" si="456"/>
        <v>2.9792999999999985</v>
      </c>
      <c r="T1004" s="305">
        <f t="shared" ca="1" si="436"/>
        <v>29.226932999999988</v>
      </c>
      <c r="U1004" s="313">
        <f t="shared" ca="1" si="437"/>
        <v>0</v>
      </c>
      <c r="V1004" s="308">
        <f t="shared" ca="1" si="438"/>
        <v>1.2266854443722011</v>
      </c>
      <c r="W1004" s="305">
        <f ca="1">1/2*Rho*Sref*Cx*vit_xz^2</f>
        <v>27.787132307308141</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0.46636773304045853</v>
      </c>
      <c r="AH1004" s="305">
        <f t="shared" ca="1" si="463"/>
        <v>-9.3267138219644057</v>
      </c>
    </row>
    <row r="1005" spans="1:34" x14ac:dyDescent="0.2">
      <c r="Y1005" s="303"/>
    </row>
    <row r="1010" spans="12:12" x14ac:dyDescent="0.2">
      <c r="L1010"/>
    </row>
    <row r="1034" spans="5:25" x14ac:dyDescent="0.2">
      <c r="E1034" s="300" t="s">
        <v>254</v>
      </c>
      <c r="J1034" s="301" t="s">
        <v>246</v>
      </c>
      <c r="T1034" s="300" t="s">
        <v>245</v>
      </c>
      <c r="Y1034" s="302" t="s">
        <v>248</v>
      </c>
    </row>
    <row r="1035" spans="5:25" x14ac:dyDescent="0.2">
      <c r="E1035" s="299" t="s">
        <v>258</v>
      </c>
    </row>
    <row r="1036" spans="5:25" x14ac:dyDescent="0.2">
      <c r="E1036" s="299"/>
      <c r="T1036" s="299" t="s">
        <v>251</v>
      </c>
    </row>
    <row r="1037" spans="5:25" x14ac:dyDescent="0.2">
      <c r="E1037" s="299"/>
      <c r="T1037" s="299" t="s">
        <v>255</v>
      </c>
    </row>
    <row r="1038" spans="5:25" x14ac:dyDescent="0.2">
      <c r="E1038" s="299"/>
      <c r="T1038" s="299" t="s">
        <v>256</v>
      </c>
    </row>
    <row r="1039" spans="5:25" x14ac:dyDescent="0.2">
      <c r="E1039" s="299"/>
      <c r="T1039" s="299" t="s">
        <v>262</v>
      </c>
    </row>
    <row r="1040" spans="5:25" x14ac:dyDescent="0.2">
      <c r="E1040" s="299" t="s">
        <v>257</v>
      </c>
      <c r="T1040" s="299" t="s">
        <v>247</v>
      </c>
    </row>
    <row r="1041" spans="5:20" x14ac:dyDescent="0.2">
      <c r="E1041" s="299"/>
      <c r="T1041" s="299" t="s">
        <v>263</v>
      </c>
    </row>
    <row r="1042" spans="5:20" x14ac:dyDescent="0.2">
      <c r="E1042" s="299"/>
      <c r="R1042" s="303"/>
      <c r="T1042" s="299"/>
    </row>
    <row r="1043" spans="5:20" x14ac:dyDescent="0.2">
      <c r="E1043" s="299"/>
    </row>
    <row r="1044" spans="5:20" x14ac:dyDescent="0.2">
      <c r="E1044" s="299"/>
    </row>
    <row r="1045" spans="5:20" x14ac:dyDescent="0.2">
      <c r="E1045" s="299" t="s">
        <v>260</v>
      </c>
      <c r="R1045" s="303"/>
      <c r="T1045" s="299"/>
    </row>
    <row r="1046" spans="5:20" x14ac:dyDescent="0.2">
      <c r="E1046" s="299"/>
    </row>
    <row r="1047" spans="5:20" x14ac:dyDescent="0.2">
      <c r="E1047" s="299"/>
    </row>
    <row r="1048" spans="5:20" x14ac:dyDescent="0.2">
      <c r="E1048" s="299"/>
      <c r="T1048" s="298" t="s">
        <v>253</v>
      </c>
    </row>
    <row r="1049" spans="5:20" x14ac:dyDescent="0.2">
      <c r="E1049" s="299"/>
    </row>
    <row r="1050" spans="5:20" x14ac:dyDescent="0.2">
      <c r="E1050" s="299" t="s">
        <v>261</v>
      </c>
    </row>
    <row r="1053" spans="5:20" x14ac:dyDescent="0.2">
      <c r="T1053" s="298" t="s">
        <v>268</v>
      </c>
    </row>
    <row r="1055" spans="5:20" x14ac:dyDescent="0.2">
      <c r="E1055" s="299" t="s">
        <v>250</v>
      </c>
    </row>
    <row r="1058" spans="5:20" x14ac:dyDescent="0.2">
      <c r="T1058" s="299" t="s">
        <v>269</v>
      </c>
    </row>
    <row r="1060" spans="5:20" x14ac:dyDescent="0.2">
      <c r="E1060" s="299" t="s">
        <v>259</v>
      </c>
    </row>
    <row r="1061" spans="5:20" x14ac:dyDescent="0.2">
      <c r="E1061" s="299"/>
    </row>
    <row r="1062" spans="5:20" x14ac:dyDescent="0.2">
      <c r="E1062" s="299"/>
    </row>
    <row r="1063" spans="5:20" x14ac:dyDescent="0.2">
      <c r="E1063" s="299"/>
    </row>
    <row r="1064" spans="5:20" x14ac:dyDescent="0.2">
      <c r="E1064" s="299"/>
    </row>
    <row r="1065" spans="5:20" x14ac:dyDescent="0.2">
      <c r="E1065" s="299" t="s">
        <v>249</v>
      </c>
    </row>
    <row r="1066" spans="5:20" x14ac:dyDescent="0.2">
      <c r="E1066" s="299"/>
    </row>
    <row r="1067" spans="5:20" x14ac:dyDescent="0.2">
      <c r="E1067" s="299"/>
    </row>
    <row r="1068" spans="5:20" x14ac:dyDescent="0.2">
      <c r="E1068" s="299"/>
    </row>
    <row r="1069" spans="5:20" x14ac:dyDescent="0.2">
      <c r="E1069" s="299"/>
    </row>
    <row r="1070" spans="5:20" x14ac:dyDescent="0.2">
      <c r="E1070" s="299" t="s">
        <v>252</v>
      </c>
    </row>
    <row r="1071" spans="5:20" x14ac:dyDescent="0.2">
      <c r="E1071" s="299"/>
    </row>
    <row r="1072" spans="5:20" x14ac:dyDescent="0.2">
      <c r="E1072" s="299"/>
    </row>
    <row r="1073" spans="5:5" x14ac:dyDescent="0.2">
      <c r="E1073" s="299"/>
    </row>
    <row r="1074" spans="5:5" x14ac:dyDescent="0.2">
      <c r="E1074" s="299"/>
    </row>
    <row r="1075" spans="5:5" x14ac:dyDescent="0.2">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104775</xdr:rowOff>
              </from>
              <to>
                <xdr:col>20</xdr:col>
                <xdr:colOff>295275</xdr:colOff>
                <xdr:row>1013</xdr:row>
                <xdr:rowOff>28575</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28575</xdr:colOff>
                <xdr:row>1024</xdr:row>
                <xdr:rowOff>161925</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257175</xdr:colOff>
                <xdr:row>1006</xdr:row>
                <xdr:rowOff>28575</xdr:rowOff>
              </from>
              <to>
                <xdr:col>24</xdr:col>
                <xdr:colOff>152400</xdr:colOff>
                <xdr:row>1007</xdr:row>
                <xdr:rowOff>104775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161925</xdr:rowOff>
              </from>
              <to>
                <xdr:col>10</xdr:col>
                <xdr:colOff>581025</xdr:colOff>
                <xdr:row>1019</xdr:row>
                <xdr:rowOff>142875</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180975</xdr:rowOff>
              </from>
              <to>
                <xdr:col>11</xdr:col>
                <xdr:colOff>266700</xdr:colOff>
                <xdr:row>1016</xdr:row>
                <xdr:rowOff>66675</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76200</xdr:rowOff>
              </from>
              <to>
                <xdr:col>11</xdr:col>
                <xdr:colOff>238125</xdr:colOff>
                <xdr:row>1017</xdr:row>
                <xdr:rowOff>161925</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66675</xdr:rowOff>
              </from>
              <to>
                <xdr:col>17</xdr:col>
                <xdr:colOff>276225</xdr:colOff>
                <xdr:row>1024</xdr:row>
                <xdr:rowOff>161925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238125</xdr:colOff>
                <xdr:row>1010</xdr:row>
                <xdr:rowOff>85725</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104775</xdr:rowOff>
              </from>
              <to>
                <xdr:col>12</xdr:col>
                <xdr:colOff>238125</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104775</xdr:rowOff>
              </from>
              <to>
                <xdr:col>3</xdr:col>
                <xdr:colOff>542925</xdr:colOff>
                <xdr:row>1007</xdr:row>
                <xdr:rowOff>180975</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180975</xdr:rowOff>
              </from>
              <to>
                <xdr:col>16</xdr:col>
                <xdr:colOff>0</xdr:colOff>
                <xdr:row>1026</xdr:row>
                <xdr:rowOff>142875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28575</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409575</xdr:colOff>
                <xdr:row>1006</xdr:row>
                <xdr:rowOff>85725</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190500</xdr:colOff>
                <xdr:row>1014</xdr:row>
                <xdr:rowOff>161925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1076325</xdr:colOff>
                <xdr:row>1019</xdr:row>
                <xdr:rowOff>142875</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142875</xdr:rowOff>
              </from>
              <to>
                <xdr:col>20</xdr:col>
                <xdr:colOff>581025</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180975</xdr:colOff>
                <xdr:row>1019</xdr:row>
                <xdr:rowOff>142875</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123825</xdr:rowOff>
              </from>
              <to>
                <xdr:col>37</xdr:col>
                <xdr:colOff>276225</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85725</xdr:rowOff>
              </from>
              <to>
                <xdr:col>35</xdr:col>
                <xdr:colOff>723900</xdr:colOff>
                <xdr:row>1013</xdr:row>
                <xdr:rowOff>47625</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28575</xdr:rowOff>
              </from>
              <to>
                <xdr:col>11</xdr:col>
                <xdr:colOff>561975</xdr:colOff>
                <xdr:row>1038</xdr:row>
                <xdr:rowOff>28575</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28575</xdr:rowOff>
              </from>
              <to>
                <xdr:col>12</xdr:col>
                <xdr:colOff>28575</xdr:colOff>
                <xdr:row>1043</xdr:row>
                <xdr:rowOff>28575</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123825</xdr:rowOff>
              </from>
              <to>
                <xdr:col>20</xdr:col>
                <xdr:colOff>333375</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257175</xdr:colOff>
                <xdr:row>1007</xdr:row>
                <xdr:rowOff>114300</xdr:rowOff>
              </from>
              <to>
                <xdr:col>32</xdr:col>
                <xdr:colOff>161925</xdr:colOff>
                <xdr:row>1010</xdr:row>
                <xdr:rowOff>85725</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333375</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47625</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676275</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104775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390525</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409575</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419100</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28575</xdr:colOff>
                <xdr:row>1022</xdr:row>
                <xdr:rowOff>47625</xdr:rowOff>
              </from>
              <to>
                <xdr:col>32</xdr:col>
                <xdr:colOff>266700</xdr:colOff>
                <xdr:row>1024</xdr:row>
                <xdr:rowOff>142875</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28575</xdr:rowOff>
              </from>
              <to>
                <xdr:col>36</xdr:col>
                <xdr:colOff>161925</xdr:colOff>
                <xdr:row>1020</xdr:row>
                <xdr:rowOff>28575</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695325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47625</xdr:rowOff>
              </from>
              <to>
                <xdr:col>35</xdr:col>
                <xdr:colOff>142875</xdr:colOff>
                <xdr:row>1023</xdr:row>
                <xdr:rowOff>47625</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66675</xdr:rowOff>
              </from>
              <to>
                <xdr:col>36</xdr:col>
                <xdr:colOff>47625</xdr:colOff>
                <xdr:row>1026</xdr:row>
                <xdr:rowOff>66675</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352425</xdr:colOff>
                <xdr:row>1051</xdr:row>
                <xdr:rowOff>85725</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baseColWidth="10" defaultRowHeight="12.75" x14ac:dyDescent="0.2"/>
  <cols>
    <col min="1" max="1" width="2.140625" customWidth="1"/>
    <col min="2" max="2" width="16.140625" customWidth="1"/>
    <col min="3" max="4" width="11.42578125" customWidth="1"/>
  </cols>
  <sheetData>
    <row r="1" spans="1:13" x14ac:dyDescent="0.2">
      <c r="A1" s="51"/>
      <c r="B1" s="52"/>
      <c r="C1" s="53"/>
      <c r="D1" s="52"/>
      <c r="E1" s="72"/>
      <c r="F1" s="72"/>
      <c r="G1" s="72"/>
      <c r="H1" s="72"/>
      <c r="I1" s="72"/>
      <c r="J1" s="72"/>
      <c r="K1" s="72"/>
      <c r="L1" s="72"/>
      <c r="M1" s="73"/>
    </row>
    <row r="2" spans="1:13" ht="12.75" customHeight="1" x14ac:dyDescent="0.2">
      <c r="A2" s="56"/>
      <c r="B2" s="2"/>
      <c r="C2" s="632" t="s">
        <v>281</v>
      </c>
      <c r="D2" s="632"/>
      <c r="M2" s="75"/>
    </row>
    <row r="3" spans="1:13" ht="12.75" customHeight="1" x14ac:dyDescent="0.2">
      <c r="A3" s="56"/>
      <c r="B3" s="2"/>
      <c r="C3" s="632"/>
      <c r="D3" s="632"/>
      <c r="M3" s="75"/>
    </row>
    <row r="4" spans="1:13" x14ac:dyDescent="0.2">
      <c r="A4" s="56"/>
      <c r="B4" s="2"/>
      <c r="C4" s="636" t="str">
        <f>IF(Lang="Français","Abaques de performance",IF(Lang="English","Performance charts",""))</f>
        <v>Abaques de performance</v>
      </c>
      <c r="D4" s="636"/>
      <c r="M4" s="75"/>
    </row>
    <row r="5" spans="1:13" x14ac:dyDescent="0.2">
      <c r="A5" s="56"/>
      <c r="B5" s="2"/>
      <c r="C5" s="636" t="str">
        <f>IF(Lang="Français","Calcul analytique simple",IF(Lang="English","Analytical computation",""))</f>
        <v>Calcul analytique simple</v>
      </c>
      <c r="D5" s="636"/>
      <c r="M5" s="75"/>
    </row>
    <row r="6" spans="1:13" x14ac:dyDescent="0.2">
      <c r="A6" s="56"/>
      <c r="B6" s="87"/>
      <c r="C6" s="1"/>
      <c r="D6" s="1"/>
      <c r="M6" s="75"/>
    </row>
    <row r="7" spans="1:13" x14ac:dyDescent="0.2">
      <c r="A7" s="59"/>
      <c r="B7" s="6"/>
      <c r="C7" s="612" t="str">
        <f>IF(Lang="Français","Fusée",IF(Lang="English","Rocket",""))</f>
        <v>Fusée</v>
      </c>
      <c r="D7" s="612"/>
      <c r="M7" s="75"/>
    </row>
    <row r="8" spans="1:13" ht="15.75" x14ac:dyDescent="0.25">
      <c r="A8" s="59"/>
      <c r="B8" s="140" t="str">
        <f>IF(Lang="Français","Nom",IF(Lang="English","Name",""))</f>
        <v>Nom</v>
      </c>
      <c r="C8" s="633" t="str">
        <f>Nom</f>
        <v>SP02-Alpha</v>
      </c>
      <c r="D8" s="633"/>
      <c r="M8" s="75"/>
    </row>
    <row r="9" spans="1:13" ht="15.75" x14ac:dyDescent="0.25">
      <c r="A9" s="59"/>
      <c r="B9" s="140" t="s">
        <v>4</v>
      </c>
      <c r="C9" s="633" t="str">
        <f>Club</f>
        <v>L'AéroIPSA</v>
      </c>
      <c r="D9" s="633"/>
      <c r="M9" s="75"/>
    </row>
    <row r="10" spans="1:13" ht="15.75" x14ac:dyDescent="0.25">
      <c r="A10" s="59"/>
      <c r="B10" s="140" t="s">
        <v>563</v>
      </c>
      <c r="C10" s="662" t="str">
        <f>Matricule</f>
        <v/>
      </c>
      <c r="D10" s="663"/>
      <c r="M10" s="75"/>
    </row>
    <row r="11" spans="1:13" x14ac:dyDescent="0.2">
      <c r="A11" s="59"/>
      <c r="B11" s="140" t="str">
        <f>IF(Lang="Français","Masse sans propu",IF(Lang="English","Mass without M",""))</f>
        <v>Masse sans propu</v>
      </c>
      <c r="C11" s="664">
        <f>MasseSans</f>
        <v>2.895</v>
      </c>
      <c r="D11" s="664"/>
      <c r="M11" s="75"/>
    </row>
    <row r="12" spans="1:13" x14ac:dyDescent="0.2">
      <c r="A12" s="59"/>
      <c r="B12" s="140" t="str">
        <f>IF(Lang="Français","Masse totale",IF(Lang="English","Total mass",""))</f>
        <v>Masse totale</v>
      </c>
      <c r="C12" s="667" t="str">
        <f ca="1">MassePlein &amp; " kg ±" &amp; MasseSans &amp; " kg"</f>
        <v>3,0549 kg ±2,895 kg</v>
      </c>
      <c r="D12" s="667"/>
      <c r="M12" s="75"/>
    </row>
    <row r="13" spans="1:13" x14ac:dyDescent="0.2">
      <c r="A13" s="59"/>
      <c r="B13" s="227" t="str">
        <f>IF(Lang="Français","Propulseur",IF(Lang="English","Motor",""))</f>
        <v>Propulseur</v>
      </c>
      <c r="C13" s="610" t="str">
        <f>Propu</f>
        <v>Pandora (Pro24-6G BS)</v>
      </c>
      <c r="D13" s="611"/>
      <c r="M13" s="75"/>
    </row>
    <row r="14" spans="1:13" x14ac:dyDescent="0.2">
      <c r="A14" s="59"/>
      <c r="B14" s="1"/>
      <c r="C14" s="1"/>
      <c r="D14" s="1"/>
      <c r="M14" s="75"/>
    </row>
    <row r="15" spans="1:13" x14ac:dyDescent="0.2">
      <c r="A15" s="74"/>
      <c r="C15" s="612" t="str">
        <f>IF(Lang="Français","Traînée Aérdynamique",IF(Lang="English","Drag",""))</f>
        <v>Traînée Aérdynamique</v>
      </c>
      <c r="D15" s="612"/>
      <c r="M15" s="75"/>
    </row>
    <row r="16" spans="1:13" x14ac:dyDescent="0.2">
      <c r="A16" s="74"/>
      <c r="B16" s="139" t="str">
        <f>IF(Lang="Français","Diamètre Ø",IF(Lang="English","Diameter Ø",""))</f>
        <v>Diamètre Ø</v>
      </c>
      <c r="C16" s="665">
        <f>D_ref</f>
        <v>84</v>
      </c>
      <c r="D16" s="665"/>
      <c r="M16" s="75"/>
    </row>
    <row r="17" spans="1:13" x14ac:dyDescent="0.2">
      <c r="A17" s="74"/>
      <c r="B17" s="140" t="s">
        <v>5</v>
      </c>
      <c r="C17" s="666">
        <f>Cx</f>
        <v>0.6</v>
      </c>
      <c r="D17" s="666"/>
      <c r="M17" s="75"/>
    </row>
    <row r="18" spans="1:13" x14ac:dyDescent="0.2">
      <c r="A18" s="74"/>
      <c r="M18" s="75"/>
    </row>
    <row r="19" spans="1:13" x14ac:dyDescent="0.2">
      <c r="A19" s="74"/>
      <c r="M19" s="75"/>
    </row>
    <row r="20" spans="1:13" x14ac:dyDescent="0.2">
      <c r="A20" s="74"/>
      <c r="M20" s="75"/>
    </row>
    <row r="21" spans="1:13" x14ac:dyDescent="0.2">
      <c r="A21" s="74"/>
      <c r="M21" s="75"/>
    </row>
    <row r="22" spans="1:13" x14ac:dyDescent="0.2">
      <c r="A22" s="74"/>
      <c r="M22" s="75"/>
    </row>
    <row r="23" spans="1:13" x14ac:dyDescent="0.2">
      <c r="A23" s="74"/>
      <c r="M23" s="75"/>
    </row>
    <row r="24" spans="1:13" x14ac:dyDescent="0.2">
      <c r="A24" s="74"/>
      <c r="M24" s="75"/>
    </row>
    <row r="25" spans="1:13" x14ac:dyDescent="0.2">
      <c r="A25" s="74"/>
      <c r="M25" s="75"/>
    </row>
    <row r="26" spans="1:13" x14ac:dyDescent="0.2">
      <c r="A26" s="74"/>
      <c r="M26" s="75"/>
    </row>
    <row r="27" spans="1:13" x14ac:dyDescent="0.2">
      <c r="A27" s="74"/>
      <c r="M27" s="75"/>
    </row>
    <row r="28" spans="1:13" x14ac:dyDescent="0.2">
      <c r="A28" s="74"/>
      <c r="M28" s="75"/>
    </row>
    <row r="29" spans="1:13" x14ac:dyDescent="0.2">
      <c r="A29" s="74"/>
      <c r="M29" s="75"/>
    </row>
    <row r="30" spans="1:13" x14ac:dyDescent="0.2">
      <c r="A30" s="74"/>
      <c r="M30" s="75"/>
    </row>
    <row r="31" spans="1:13" x14ac:dyDescent="0.2">
      <c r="A31" s="74"/>
      <c r="M31" s="75"/>
    </row>
    <row r="32" spans="1:13" x14ac:dyDescent="0.2">
      <c r="A32" s="74"/>
      <c r="M32" s="75"/>
    </row>
    <row r="33" spans="1:13" x14ac:dyDescent="0.2">
      <c r="A33" s="74"/>
      <c r="M33" s="75"/>
    </row>
    <row r="34" spans="1:13" x14ac:dyDescent="0.2">
      <c r="A34" s="74"/>
      <c r="M34" s="75"/>
    </row>
    <row r="35" spans="1:13" x14ac:dyDescent="0.2">
      <c r="A35" s="74"/>
      <c r="M35" s="75"/>
    </row>
    <row r="36" spans="1:13" x14ac:dyDescent="0.2">
      <c r="A36" s="74"/>
      <c r="M36" s="75"/>
    </row>
    <row r="37" spans="1:13" ht="13.5" thickBot="1" x14ac:dyDescent="0.25">
      <c r="A37" s="77"/>
      <c r="B37" s="78"/>
      <c r="C37" s="78"/>
      <c r="D37" s="78"/>
      <c r="E37" s="78"/>
      <c r="F37" s="78"/>
      <c r="G37" s="78"/>
      <c r="H37" s="78"/>
      <c r="I37" s="78"/>
      <c r="J37" s="78"/>
      <c r="K37" s="78"/>
      <c r="L37" s="78"/>
      <c r="M37" s="79"/>
    </row>
    <row r="41" spans="1:13" x14ac:dyDescent="0.2">
      <c r="B41" s="419" t="s">
        <v>61</v>
      </c>
      <c r="C41" s="170" t="s">
        <v>285</v>
      </c>
      <c r="D41" s="134" t="s">
        <v>282</v>
      </c>
      <c r="E41" s="134" t="s">
        <v>286</v>
      </c>
      <c r="F41" s="134" t="s">
        <v>287</v>
      </c>
      <c r="G41" s="134" t="s">
        <v>13</v>
      </c>
      <c r="H41" s="134" t="s">
        <v>283</v>
      </c>
      <c r="I41" s="134" t="s">
        <v>284</v>
      </c>
      <c r="J41" s="134" t="s">
        <v>299</v>
      </c>
      <c r="K41" s="134" t="s">
        <v>300</v>
      </c>
      <c r="L41" s="134" t="s">
        <v>302</v>
      </c>
      <c r="M41" s="134" t="s">
        <v>290</v>
      </c>
    </row>
    <row r="42" spans="1:13" x14ac:dyDescent="0.2">
      <c r="B42" s="420" t="s">
        <v>291</v>
      </c>
      <c r="C42" s="170" t="s">
        <v>292</v>
      </c>
      <c r="D42" s="134" t="s">
        <v>293</v>
      </c>
      <c r="E42" s="134" t="s">
        <v>294</v>
      </c>
      <c r="F42" s="134" t="s">
        <v>295</v>
      </c>
      <c r="G42" s="134" t="s">
        <v>296</v>
      </c>
      <c r="H42" s="134" t="s">
        <v>297</v>
      </c>
      <c r="I42" s="134" t="s">
        <v>298</v>
      </c>
      <c r="J42" s="134" t="s">
        <v>288</v>
      </c>
      <c r="K42" s="134" t="s">
        <v>289</v>
      </c>
      <c r="L42" s="134"/>
      <c r="M42" s="134"/>
    </row>
    <row r="43" spans="1:13" x14ac:dyDescent="0.2">
      <c r="B43" s="425">
        <f t="shared" ref="B43:B51" ca="1" si="0">MAX(D_ref*0.5, Diam_propu)</f>
        <v>42</v>
      </c>
      <c r="C43" s="403">
        <f t="shared" ref="C43:C69" ca="1" si="1">1/2*Rho_moyen*PI()*D_var^2/4*Cx/10^6</f>
        <v>5.0915006738566377E-4</v>
      </c>
      <c r="D43" s="400">
        <f ca="1">MpropuPlein+0*MasseSans</f>
        <v>0.15989999999999999</v>
      </c>
      <c r="E43" s="400">
        <f t="shared" ref="E43:E69" ca="1" si="2">m_var - 0.5*m_poudre</f>
        <v>0.12209999999999999</v>
      </c>
      <c r="F43" s="400">
        <f t="shared" ref="F43:F69" ca="1" si="3">m_var - m_poudre</f>
        <v>8.43E-2</v>
      </c>
      <c r="G43" s="407">
        <f t="shared" ref="G43:G69" ca="1" si="4">MAX(0, (I_total/Temps_fin_propu)/m_prop-g)</f>
        <v>573.48238329238336</v>
      </c>
      <c r="H43" s="406">
        <f t="shared" ref="H43:H69" ca="1" si="5">Q_var/m_prop</f>
        <v>4.1699432218318087E-3</v>
      </c>
      <c r="I43" s="403">
        <f t="shared" ref="I43:I69" ca="1" si="6">Q_var/m_bal</f>
        <v>6.0397398266389532E-3</v>
      </c>
      <c r="J43" s="403">
        <f t="shared" ref="J43:J69" ca="1" si="7">1/(2*b_prop)*LN(  ((EXP(2*SQRT(a_prop*b_prop)*Temps_fin_propu)+1)^2)  /  (((1+1)^2)*EXP(2*SQRT(a_prop*b_prop)*Temps_fin_propu)))</f>
        <v>575.96294147993024</v>
      </c>
      <c r="K43" s="410">
        <f t="shared" ref="K43:K69" ca="1" si="8">SQRT(a_prop/b_prop)  *  (EXP(2*SQRT(a_prop*b_prop)*Temps_fin_propu)-1)/(EXP(2*SQRT(a_prop*b_prop)*Temps_fin_propu)+1)</f>
        <v>369.32332981562001</v>
      </c>
      <c r="L43" s="413">
        <f t="shared" ref="L43:L69" ca="1" si="9">alt_prop + 1/(2*b_bal) * LN(1+b_bal/g*V_prop^2)</f>
        <v>943.72596711044525</v>
      </c>
      <c r="M43" s="416">
        <f t="shared" ref="M43:M69" ca="1" si="10">Temps_fin_propu + ATAN(SQRT(b_bal/g)*V_prop)/SQRT(b_bal*g)</f>
        <v>8.0066772056142064</v>
      </c>
    </row>
    <row r="44" spans="1:13" x14ac:dyDescent="0.2">
      <c r="B44" s="426">
        <f t="shared" ca="1" si="0"/>
        <v>42</v>
      </c>
      <c r="C44" s="404">
        <f t="shared" ca="1" si="1"/>
        <v>5.0915006738566377E-4</v>
      </c>
      <c r="D44" s="401">
        <f ca="1">MpropuPlein+0.25*MasseSans</f>
        <v>0.88365000000000005</v>
      </c>
      <c r="E44" s="401">
        <f t="shared" ca="1" si="2"/>
        <v>0.8458500000000001</v>
      </c>
      <c r="F44" s="401">
        <f t="shared" ca="1" si="3"/>
        <v>0.80805000000000005</v>
      </c>
      <c r="G44" s="408">
        <f t="shared" ca="1" si="4"/>
        <v>74.389326121652758</v>
      </c>
      <c r="H44" s="404">
        <f t="shared" ca="1" si="5"/>
        <v>6.0193895771787397E-4</v>
      </c>
      <c r="I44" s="404">
        <f t="shared" ca="1" si="6"/>
        <v>6.300972308466849E-4</v>
      </c>
      <c r="J44" s="404">
        <f t="shared" ca="1" si="7"/>
        <v>144.53855685653861</v>
      </c>
      <c r="K44" s="411">
        <f t="shared" ca="1" si="8"/>
        <v>140.48938293512452</v>
      </c>
      <c r="L44" s="414">
        <f t="shared" ca="1" si="9"/>
        <v>794.26192802243168</v>
      </c>
      <c r="M44" s="417">
        <f t="shared" ca="1" si="10"/>
        <v>12.742249634307495</v>
      </c>
    </row>
    <row r="45" spans="1:13" x14ac:dyDescent="0.2">
      <c r="B45" s="426">
        <f t="shared" ca="1" si="0"/>
        <v>42</v>
      </c>
      <c r="C45" s="404">
        <f t="shared" ca="1" si="1"/>
        <v>5.0915006738566377E-4</v>
      </c>
      <c r="D45" s="401">
        <f ca="1">MpropuPlein+0.5*MasseSans</f>
        <v>1.6073999999999999</v>
      </c>
      <c r="E45" s="401">
        <f t="shared" ca="1" si="2"/>
        <v>1.5695999999999999</v>
      </c>
      <c r="F45" s="401">
        <f t="shared" ca="1" si="3"/>
        <v>1.5318000000000001</v>
      </c>
      <c r="G45" s="408">
        <f t="shared" ca="1" si="4"/>
        <v>35.564617737003061</v>
      </c>
      <c r="H45" s="404">
        <f t="shared" ca="1" si="5"/>
        <v>3.2438205108668692E-4</v>
      </c>
      <c r="I45" s="404">
        <f t="shared" ca="1" si="6"/>
        <v>3.323867785518108E-4</v>
      </c>
      <c r="J45" s="404">
        <f t="shared" ca="1" si="7"/>
        <v>70.588818354465246</v>
      </c>
      <c r="K45" s="411">
        <f t="shared" ca="1" si="8"/>
        <v>70.054948639462992</v>
      </c>
      <c r="L45" s="414">
        <f t="shared" ca="1" si="9"/>
        <v>301.98077245487542</v>
      </c>
      <c r="M45" s="417">
        <f t="shared" ca="1" si="10"/>
        <v>8.7806895651265435</v>
      </c>
    </row>
    <row r="46" spans="1:13" x14ac:dyDescent="0.2">
      <c r="B46" s="426">
        <f t="shared" ca="1" si="0"/>
        <v>42</v>
      </c>
      <c r="C46" s="404">
        <f t="shared" ca="1" si="1"/>
        <v>5.0915006738566377E-4</v>
      </c>
      <c r="D46" s="401">
        <f ca="1">MpropuPlein+0.75*MasseSans</f>
        <v>2.3311500000000001</v>
      </c>
      <c r="E46" s="401">
        <f t="shared" ca="1" si="2"/>
        <v>2.2933500000000002</v>
      </c>
      <c r="F46" s="401">
        <f t="shared" ca="1" si="3"/>
        <v>2.2555499999999999</v>
      </c>
      <c r="G46" s="408">
        <f t="shared" ca="1" si="4"/>
        <v>21.24500686768264</v>
      </c>
      <c r="H46" s="404">
        <f t="shared" ca="1" si="5"/>
        <v>2.2201149732298329E-4</v>
      </c>
      <c r="I46" s="404">
        <f t="shared" ca="1" si="6"/>
        <v>2.2573211295943952E-4</v>
      </c>
      <c r="J46" s="404">
        <f t="shared" ca="1" si="7"/>
        <v>42.357075481371204</v>
      </c>
      <c r="K46" s="411">
        <f t="shared" ca="1" si="8"/>
        <v>42.224801783061984</v>
      </c>
      <c r="L46" s="414">
        <f t="shared" ca="1" si="9"/>
        <v>131.41574181078286</v>
      </c>
      <c r="M46" s="417">
        <f t="shared" ca="1" si="10"/>
        <v>6.2468066617056053</v>
      </c>
    </row>
    <row r="47" spans="1:13" x14ac:dyDescent="0.2">
      <c r="B47" s="426">
        <f t="shared" ca="1" si="0"/>
        <v>42</v>
      </c>
      <c r="C47" s="404">
        <f t="shared" ca="1" si="1"/>
        <v>5.0915006738566377E-4</v>
      </c>
      <c r="D47" s="401">
        <f ca="1">MpropuPlein+1*MasseSans</f>
        <v>3.0548999999999999</v>
      </c>
      <c r="E47" s="401">
        <f t="shared" ca="1" si="2"/>
        <v>3.0171000000000001</v>
      </c>
      <c r="F47" s="401">
        <f t="shared" ca="1" si="3"/>
        <v>2.9792999999999998</v>
      </c>
      <c r="G47" s="408">
        <f t="shared" ca="1" si="4"/>
        <v>13.795448941036094</v>
      </c>
      <c r="H47" s="404">
        <f t="shared" ca="1" si="5"/>
        <v>1.6875478684354636E-4</v>
      </c>
      <c r="I47" s="404">
        <f t="shared" ca="1" si="6"/>
        <v>1.7089587063594261E-4</v>
      </c>
      <c r="J47" s="404">
        <f t="shared" ca="1" si="7"/>
        <v>27.548181962789634</v>
      </c>
      <c r="K47" s="411">
        <f t="shared" ca="1" si="8"/>
        <v>27.505571782682907</v>
      </c>
      <c r="L47" s="414">
        <f t="shared" ca="1" si="9"/>
        <v>65.856758964896528</v>
      </c>
      <c r="M47" s="417">
        <f t="shared" ca="1" si="10"/>
        <v>4.7916086128567281</v>
      </c>
    </row>
    <row r="48" spans="1:13" x14ac:dyDescent="0.2">
      <c r="B48" s="426">
        <f t="shared" ca="1" si="0"/>
        <v>42</v>
      </c>
      <c r="C48" s="404">
        <f t="shared" ca="1" si="1"/>
        <v>5.0915006738566377E-4</v>
      </c>
      <c r="D48" s="401">
        <f ca="1">MpropuPlein+1.25*MasseSans</f>
        <v>3.7786499999999998</v>
      </c>
      <c r="E48" s="401">
        <f t="shared" ca="1" si="2"/>
        <v>3.74085</v>
      </c>
      <c r="F48" s="401">
        <f t="shared" ca="1" si="3"/>
        <v>3.7030499999999997</v>
      </c>
      <c r="G48" s="408">
        <f t="shared" ca="1" si="4"/>
        <v>9.228453827338706</v>
      </c>
      <c r="H48" s="404">
        <f t="shared" ca="1" si="5"/>
        <v>1.3610544859742139E-4</v>
      </c>
      <c r="I48" s="404">
        <f t="shared" ca="1" si="6"/>
        <v>1.3749478602386245E-4</v>
      </c>
      <c r="J48" s="404">
        <f t="shared" ca="1" si="7"/>
        <v>18.441473218344012</v>
      </c>
      <c r="K48" s="411">
        <f t="shared" ca="1" si="8"/>
        <v>18.42605942543565</v>
      </c>
      <c r="L48" s="414">
        <f t="shared" ca="1" si="9"/>
        <v>35.705203848174058</v>
      </c>
      <c r="M48" s="417">
        <f t="shared" ca="1" si="10"/>
        <v>3.8753226277746182</v>
      </c>
    </row>
    <row r="49" spans="2:13" x14ac:dyDescent="0.2">
      <c r="B49" s="426">
        <f t="shared" ca="1" si="0"/>
        <v>42</v>
      </c>
      <c r="C49" s="404">
        <f t="shared" ca="1" si="1"/>
        <v>5.0915006738566377E-4</v>
      </c>
      <c r="D49" s="401">
        <f ca="1">MpropuPlein+1.5*MasseSans</f>
        <v>4.5024000000000006</v>
      </c>
      <c r="E49" s="401">
        <f t="shared" ca="1" si="2"/>
        <v>4.4646000000000008</v>
      </c>
      <c r="F49" s="401">
        <f t="shared" ca="1" si="3"/>
        <v>4.426800000000001</v>
      </c>
      <c r="G49" s="408">
        <f t="shared" ca="1" si="4"/>
        <v>6.1421569681494379</v>
      </c>
      <c r="H49" s="404">
        <f t="shared" ca="1" si="5"/>
        <v>1.1404158656669437E-4</v>
      </c>
      <c r="I49" s="404">
        <f t="shared" ca="1" si="6"/>
        <v>1.150153762053094E-4</v>
      </c>
      <c r="J49" s="404">
        <f t="shared" ca="1" si="7"/>
        <v>12.278581760817596</v>
      </c>
      <c r="K49" s="411">
        <f t="shared" ca="1" si="8"/>
        <v>12.272853864102277</v>
      </c>
      <c r="L49" s="414">
        <f t="shared" ca="1" si="9"/>
        <v>19.948821422541236</v>
      </c>
      <c r="M49" s="417">
        <f t="shared" ca="1" si="10"/>
        <v>3.2503197859446455</v>
      </c>
    </row>
    <row r="50" spans="2:13" x14ac:dyDescent="0.2">
      <c r="B50" s="426">
        <f t="shared" ca="1" si="0"/>
        <v>42</v>
      </c>
      <c r="C50" s="404">
        <f t="shared" ca="1" si="1"/>
        <v>5.0915006738566377E-4</v>
      </c>
      <c r="D50" s="401">
        <f ca="1">MpropuPlein+1.75*MasseSans</f>
        <v>5.2261500000000005</v>
      </c>
      <c r="E50" s="401">
        <f t="shared" ca="1" si="2"/>
        <v>5.1883500000000007</v>
      </c>
      <c r="F50" s="401">
        <f t="shared" ca="1" si="3"/>
        <v>5.1505500000000008</v>
      </c>
      <c r="G50" s="408">
        <f t="shared" ca="1" si="4"/>
        <v>3.9169073983058169</v>
      </c>
      <c r="H50" s="404">
        <f t="shared" ca="1" si="5"/>
        <v>9.8133330902052426E-5</v>
      </c>
      <c r="I50" s="404">
        <f t="shared" ca="1" si="6"/>
        <v>9.8853533581008571E-5</v>
      </c>
      <c r="J50" s="404">
        <f t="shared" ca="1" si="7"/>
        <v>7.8318081824664141</v>
      </c>
      <c r="K50" s="411">
        <f t="shared" ca="1" si="8"/>
        <v>7.8298023906125271</v>
      </c>
      <c r="L50" s="414">
        <f t="shared" ca="1" si="9"/>
        <v>10.955502214865072</v>
      </c>
      <c r="M50" s="417">
        <f t="shared" ca="1" si="10"/>
        <v>2.7979806989267115</v>
      </c>
    </row>
    <row r="51" spans="2:13" x14ac:dyDescent="0.2">
      <c r="B51" s="427">
        <f t="shared" ca="1" si="0"/>
        <v>42</v>
      </c>
      <c r="C51" s="405">
        <f t="shared" ca="1" si="1"/>
        <v>5.0915006738566377E-4</v>
      </c>
      <c r="D51" s="402">
        <f ca="1">MpropuPlein+2*MasseSans</f>
        <v>5.9499000000000004</v>
      </c>
      <c r="E51" s="402">
        <f t="shared" ca="1" si="2"/>
        <v>5.9121000000000006</v>
      </c>
      <c r="F51" s="402">
        <f t="shared" ca="1" si="3"/>
        <v>5.8743000000000007</v>
      </c>
      <c r="G51" s="409">
        <f t="shared" ca="1" si="4"/>
        <v>2.2364809458568011</v>
      </c>
      <c r="H51" s="405">
        <f t="shared" ca="1" si="5"/>
        <v>8.6120002602402488E-5</v>
      </c>
      <c r="I51" s="405">
        <f t="shared" ca="1" si="6"/>
        <v>8.6674168392091602E-5</v>
      </c>
      <c r="J51" s="405">
        <f t="shared" ca="1" si="7"/>
        <v>4.472387664245284</v>
      </c>
      <c r="K51" s="412">
        <f t="shared" ca="1" si="8"/>
        <v>4.4718135547184463</v>
      </c>
      <c r="L51" s="415">
        <f t="shared" ca="1" si="9"/>
        <v>5.4915186595692944</v>
      </c>
      <c r="M51" s="418">
        <f t="shared" ca="1" si="10"/>
        <v>2.4558155170464664</v>
      </c>
    </row>
    <row r="52" spans="2:13" x14ac:dyDescent="0.2">
      <c r="B52" s="425">
        <f t="shared" ref="B52:B60" si="11">D_ref</f>
        <v>84</v>
      </c>
      <c r="C52" s="403">
        <f t="shared" si="1"/>
        <v>2.0366002695426551E-3</v>
      </c>
      <c r="D52" s="400">
        <f ca="1">MpropuPlein+0*MasseSans</f>
        <v>0.15989999999999999</v>
      </c>
      <c r="E52" s="400">
        <f t="shared" ca="1" si="2"/>
        <v>0.12209999999999999</v>
      </c>
      <c r="F52" s="400">
        <f t="shared" ca="1" si="3"/>
        <v>8.43E-2</v>
      </c>
      <c r="G52" s="407">
        <f t="shared" ca="1" si="4"/>
        <v>573.48238329238336</v>
      </c>
      <c r="H52" s="403">
        <f t="shared" ca="1" si="5"/>
        <v>1.6679772887327235E-2</v>
      </c>
      <c r="I52" s="403">
        <f t="shared" ca="1" si="6"/>
        <v>2.4158959306555813E-2</v>
      </c>
      <c r="J52" s="403">
        <f t="shared" ca="1" si="7"/>
        <v>329.29127253077786</v>
      </c>
      <c r="K52" s="410">
        <f t="shared" ca="1" si="8"/>
        <v>185.42201346176171</v>
      </c>
      <c r="L52" s="413">
        <f t="shared" ca="1" si="9"/>
        <v>421.40012018928473</v>
      </c>
      <c r="M52" s="416">
        <f t="shared" ca="1" si="10"/>
        <v>5.004247001248757</v>
      </c>
    </row>
    <row r="53" spans="2:13" x14ac:dyDescent="0.2">
      <c r="B53" s="426">
        <f t="shared" si="11"/>
        <v>84</v>
      </c>
      <c r="C53" s="404">
        <f t="shared" si="1"/>
        <v>2.0366002695426551E-3</v>
      </c>
      <c r="D53" s="401">
        <f ca="1">MpropuPlein+0.25*MasseSans</f>
        <v>0.88365000000000005</v>
      </c>
      <c r="E53" s="401">
        <f t="shared" ca="1" si="2"/>
        <v>0.8458500000000001</v>
      </c>
      <c r="F53" s="401">
        <f t="shared" ca="1" si="3"/>
        <v>0.80805000000000005</v>
      </c>
      <c r="G53" s="408">
        <f t="shared" ca="1" si="4"/>
        <v>74.389326121652758</v>
      </c>
      <c r="H53" s="404">
        <f t="shared" ca="1" si="5"/>
        <v>2.4077558308714959E-3</v>
      </c>
      <c r="I53" s="404">
        <f t="shared" ca="1" si="6"/>
        <v>2.5203889233867396E-3</v>
      </c>
      <c r="J53" s="404">
        <f t="shared" ca="1" si="7"/>
        <v>133.80746859905764</v>
      </c>
      <c r="K53" s="411">
        <f t="shared" ca="1" si="8"/>
        <v>121.14194817251041</v>
      </c>
      <c r="L53" s="414">
        <f t="shared" ca="1" si="9"/>
        <v>443.76570017621498</v>
      </c>
      <c r="M53" s="417">
        <f t="shared" ca="1" si="10"/>
        <v>8.9652035667155872</v>
      </c>
    </row>
    <row r="54" spans="2:13" x14ac:dyDescent="0.2">
      <c r="B54" s="426">
        <f t="shared" si="11"/>
        <v>84</v>
      </c>
      <c r="C54" s="404">
        <f t="shared" si="1"/>
        <v>2.0366002695426551E-3</v>
      </c>
      <c r="D54" s="401">
        <f ca="1">MpropuPlein+0.5*MasseSans</f>
        <v>1.6073999999999999</v>
      </c>
      <c r="E54" s="401">
        <f t="shared" ca="1" si="2"/>
        <v>1.5695999999999999</v>
      </c>
      <c r="F54" s="401">
        <f t="shared" ca="1" si="3"/>
        <v>1.5318000000000001</v>
      </c>
      <c r="G54" s="408">
        <f t="shared" ca="1" si="4"/>
        <v>35.564617737003061</v>
      </c>
      <c r="H54" s="404">
        <f t="shared" ca="1" si="5"/>
        <v>1.2975282043467477E-3</v>
      </c>
      <c r="I54" s="404">
        <f t="shared" ca="1" si="6"/>
        <v>1.3295471142072432E-3</v>
      </c>
      <c r="J54" s="404">
        <f t="shared" ca="1" si="7"/>
        <v>69.043025584714144</v>
      </c>
      <c r="K54" s="411">
        <f t="shared" ca="1" si="8"/>
        <v>67.053454726460672</v>
      </c>
      <c r="L54" s="414">
        <f t="shared" ca="1" si="9"/>
        <v>247.99090976713791</v>
      </c>
      <c r="M54" s="417">
        <f t="shared" ca="1" si="10"/>
        <v>7.8036728355384275</v>
      </c>
    </row>
    <row r="55" spans="2:13" x14ac:dyDescent="0.2">
      <c r="B55" s="426">
        <f t="shared" si="11"/>
        <v>84</v>
      </c>
      <c r="C55" s="404">
        <f t="shared" si="1"/>
        <v>2.0366002695426551E-3</v>
      </c>
      <c r="D55" s="401">
        <f ca="1">MpropuPlein+0.75*MasseSans</f>
        <v>2.3311500000000001</v>
      </c>
      <c r="E55" s="401">
        <f t="shared" ca="1" si="2"/>
        <v>2.2933500000000002</v>
      </c>
      <c r="F55" s="401">
        <f t="shared" ca="1" si="3"/>
        <v>2.2555499999999999</v>
      </c>
      <c r="G55" s="408">
        <f t="shared" ca="1" si="4"/>
        <v>21.24500686768264</v>
      </c>
      <c r="H55" s="404">
        <f t="shared" ca="1" si="5"/>
        <v>8.8804598929193316E-4</v>
      </c>
      <c r="I55" s="404">
        <f t="shared" ca="1" si="6"/>
        <v>9.0292845183775807E-4</v>
      </c>
      <c r="J55" s="404">
        <f t="shared" ca="1" si="7"/>
        <v>41.966101737562255</v>
      </c>
      <c r="K55" s="411">
        <f t="shared" ca="1" si="8"/>
        <v>41.452469414368096</v>
      </c>
      <c r="L55" s="414">
        <f t="shared" ca="1" si="9"/>
        <v>123.27316388386774</v>
      </c>
      <c r="M55" s="417">
        <f t="shared" ca="1" si="10"/>
        <v>6.0217789608564409</v>
      </c>
    </row>
    <row r="56" spans="2:13" x14ac:dyDescent="0.2">
      <c r="B56" s="426">
        <f t="shared" si="11"/>
        <v>84</v>
      </c>
      <c r="C56" s="404">
        <f t="shared" si="1"/>
        <v>2.0366002695426551E-3</v>
      </c>
      <c r="D56" s="401">
        <f ca="1">MpropuPlein+1*MasseSans</f>
        <v>3.0548999999999999</v>
      </c>
      <c r="E56" s="401">
        <f t="shared" ca="1" si="2"/>
        <v>3.0171000000000001</v>
      </c>
      <c r="F56" s="401">
        <f t="shared" ca="1" si="3"/>
        <v>2.9792999999999998</v>
      </c>
      <c r="G56" s="408">
        <f t="shared" ca="1" si="4"/>
        <v>13.795448941036094</v>
      </c>
      <c r="H56" s="404">
        <f t="shared" ca="1" si="5"/>
        <v>6.7501914737418546E-4</v>
      </c>
      <c r="I56" s="404">
        <f t="shared" ca="1" si="6"/>
        <v>6.8358348254377044E-4</v>
      </c>
      <c r="J56" s="404">
        <f t="shared" ca="1" si="7"/>
        <v>27.421292446446063</v>
      </c>
      <c r="K56" s="411">
        <f t="shared" ca="1" si="8"/>
        <v>27.253350621353079</v>
      </c>
      <c r="L56" s="414">
        <f t="shared" ca="1" si="9"/>
        <v>64.330709628606471</v>
      </c>
      <c r="M56" s="417">
        <f t="shared" ca="1" si="10"/>
        <v>4.7316264864420692</v>
      </c>
    </row>
    <row r="57" spans="2:13" x14ac:dyDescent="0.2">
      <c r="B57" s="426">
        <f t="shared" si="11"/>
        <v>84</v>
      </c>
      <c r="C57" s="404">
        <f t="shared" si="1"/>
        <v>2.0366002695426551E-3</v>
      </c>
      <c r="D57" s="401">
        <f ca="1">MpropuPlein+1.25*MasseSans</f>
        <v>3.7786499999999998</v>
      </c>
      <c r="E57" s="401">
        <f t="shared" ca="1" si="2"/>
        <v>3.74085</v>
      </c>
      <c r="F57" s="401">
        <f t="shared" ca="1" si="3"/>
        <v>3.7030499999999997</v>
      </c>
      <c r="G57" s="408">
        <f t="shared" ca="1" si="4"/>
        <v>9.228453827338706</v>
      </c>
      <c r="H57" s="404">
        <f t="shared" ca="1" si="5"/>
        <v>5.4442179438968555E-4</v>
      </c>
      <c r="I57" s="404">
        <f t="shared" ca="1" si="6"/>
        <v>5.4997914409544979E-4</v>
      </c>
      <c r="J57" s="404">
        <f t="shared" ca="1" si="7"/>
        <v>18.395416504545249</v>
      </c>
      <c r="K57" s="411">
        <f t="shared" ca="1" si="8"/>
        <v>18.334252654095604</v>
      </c>
      <c r="L57" s="414">
        <f t="shared" ca="1" si="9"/>
        <v>35.368743751491778</v>
      </c>
      <c r="M57" s="417">
        <f t="shared" ca="1" si="10"/>
        <v>3.8573257894267909</v>
      </c>
    </row>
    <row r="58" spans="2:13" x14ac:dyDescent="0.2">
      <c r="B58" s="426">
        <f t="shared" si="11"/>
        <v>84</v>
      </c>
      <c r="C58" s="404">
        <f t="shared" si="1"/>
        <v>2.0366002695426551E-3</v>
      </c>
      <c r="D58" s="401">
        <f ca="1">MpropuPlein+1.5*MasseSans</f>
        <v>4.5024000000000006</v>
      </c>
      <c r="E58" s="401">
        <f t="shared" ca="1" si="2"/>
        <v>4.4646000000000008</v>
      </c>
      <c r="F58" s="401">
        <f t="shared" ca="1" si="3"/>
        <v>4.426800000000001</v>
      </c>
      <c r="G58" s="408">
        <f t="shared" ca="1" si="4"/>
        <v>6.1421569681494379</v>
      </c>
      <c r="H58" s="404">
        <f t="shared" ca="1" si="5"/>
        <v>4.5616634626677749E-4</v>
      </c>
      <c r="I58" s="404">
        <f t="shared" ca="1" si="6"/>
        <v>4.600615048212376E-4</v>
      </c>
      <c r="J58" s="404">
        <f t="shared" ca="1" si="7"/>
        <v>12.261436449013638</v>
      </c>
      <c r="K58" s="411">
        <f t="shared" ca="1" si="8"/>
        <v>12.238627074344944</v>
      </c>
      <c r="L58" s="414">
        <f t="shared" ca="1" si="9"/>
        <v>19.868998544218961</v>
      </c>
      <c r="M58" s="417">
        <f t="shared" ca="1" si="10"/>
        <v>3.244657564773461</v>
      </c>
    </row>
    <row r="59" spans="2:13" x14ac:dyDescent="0.2">
      <c r="B59" s="426">
        <f t="shared" si="11"/>
        <v>84</v>
      </c>
      <c r="C59" s="404">
        <f t="shared" si="1"/>
        <v>2.0366002695426551E-3</v>
      </c>
      <c r="D59" s="401">
        <f ca="1">MpropuPlein+1.75*MasseSans</f>
        <v>5.2261500000000005</v>
      </c>
      <c r="E59" s="401">
        <f t="shared" ca="1" si="2"/>
        <v>5.1883500000000007</v>
      </c>
      <c r="F59" s="401">
        <f t="shared" ca="1" si="3"/>
        <v>5.1505500000000008</v>
      </c>
      <c r="G59" s="408">
        <f t="shared" ca="1" si="4"/>
        <v>3.9169073983058169</v>
      </c>
      <c r="H59" s="404">
        <f t="shared" ca="1" si="5"/>
        <v>3.925333236082097E-4</v>
      </c>
      <c r="I59" s="404">
        <f t="shared" ca="1" si="6"/>
        <v>3.9541413432403428E-4</v>
      </c>
      <c r="J59" s="404">
        <f t="shared" ca="1" si="7"/>
        <v>7.8257981937276151</v>
      </c>
      <c r="K59" s="411">
        <f t="shared" ca="1" si="8"/>
        <v>7.8177947107465267</v>
      </c>
      <c r="L59" s="414">
        <f t="shared" ca="1" si="9"/>
        <v>10.937049758837574</v>
      </c>
      <c r="M59" s="417">
        <f t="shared" ca="1" si="10"/>
        <v>2.7962675314290095</v>
      </c>
    </row>
    <row r="60" spans="2:13" x14ac:dyDescent="0.2">
      <c r="B60" s="427">
        <f t="shared" si="11"/>
        <v>84</v>
      </c>
      <c r="C60" s="405">
        <f t="shared" si="1"/>
        <v>2.0366002695426551E-3</v>
      </c>
      <c r="D60" s="402">
        <f ca="1">MpropuPlein+2*MasseSans</f>
        <v>5.9499000000000004</v>
      </c>
      <c r="E60" s="402">
        <f t="shared" ca="1" si="2"/>
        <v>5.9121000000000006</v>
      </c>
      <c r="F60" s="402">
        <f t="shared" ca="1" si="3"/>
        <v>5.8743000000000007</v>
      </c>
      <c r="G60" s="409">
        <f t="shared" ca="1" si="4"/>
        <v>2.2364809458568011</v>
      </c>
      <c r="H60" s="405">
        <f t="shared" ca="1" si="5"/>
        <v>3.4448001040960995E-4</v>
      </c>
      <c r="I60" s="405">
        <f t="shared" ca="1" si="6"/>
        <v>3.4669667356836641E-4</v>
      </c>
      <c r="J60" s="405">
        <f t="shared" ca="1" si="7"/>
        <v>4.4706663961503734</v>
      </c>
      <c r="K60" s="412">
        <f t="shared" ca="1" si="8"/>
        <v>4.4683727850120132</v>
      </c>
      <c r="L60" s="415">
        <f t="shared" ca="1" si="9"/>
        <v>5.4879606973191937</v>
      </c>
      <c r="M60" s="418">
        <f t="shared" ca="1" si="10"/>
        <v>2.4553845278215909</v>
      </c>
    </row>
    <row r="61" spans="2:13" x14ac:dyDescent="0.2">
      <c r="B61" s="425">
        <f t="shared" ref="B61:B69" si="12">D_ref*1.5</f>
        <v>126</v>
      </c>
      <c r="C61" s="403">
        <f t="shared" si="1"/>
        <v>4.5823506064709748E-3</v>
      </c>
      <c r="D61" s="400">
        <f ca="1">MpropuPlein+0*MasseSans</f>
        <v>0.15989999999999999</v>
      </c>
      <c r="E61" s="400">
        <f t="shared" ca="1" si="2"/>
        <v>0.12209999999999999</v>
      </c>
      <c r="F61" s="400">
        <f t="shared" ca="1" si="3"/>
        <v>8.43E-2</v>
      </c>
      <c r="G61" s="407">
        <f t="shared" ca="1" si="4"/>
        <v>573.48238329238336</v>
      </c>
      <c r="H61" s="403">
        <f t="shared" ca="1" si="5"/>
        <v>3.7529488996486282E-2</v>
      </c>
      <c r="I61" s="403">
        <f t="shared" ca="1" si="6"/>
        <v>5.4357658439750593E-2</v>
      </c>
      <c r="J61" s="403">
        <f t="shared" ca="1" si="7"/>
        <v>228.76204633138835</v>
      </c>
      <c r="K61" s="410">
        <f t="shared" ca="1" si="8"/>
        <v>123.6157213781817</v>
      </c>
      <c r="L61" s="413">
        <f t="shared" ca="1" si="9"/>
        <v>269.6994657695717</v>
      </c>
      <c r="M61" s="416">
        <f t="shared" ca="1" si="10"/>
        <v>4.0028325784479488</v>
      </c>
    </row>
    <row r="62" spans="2:13" x14ac:dyDescent="0.2">
      <c r="B62" s="426">
        <f t="shared" si="12"/>
        <v>126</v>
      </c>
      <c r="C62" s="404">
        <f t="shared" si="1"/>
        <v>4.5823506064709748E-3</v>
      </c>
      <c r="D62" s="401">
        <f ca="1">MpropuPlein+0.25*MasseSans</f>
        <v>0.88365000000000005</v>
      </c>
      <c r="E62" s="401">
        <f t="shared" ca="1" si="2"/>
        <v>0.8458500000000001</v>
      </c>
      <c r="F62" s="401">
        <f t="shared" ca="1" si="3"/>
        <v>0.80805000000000005</v>
      </c>
      <c r="G62" s="408">
        <f t="shared" ca="1" si="4"/>
        <v>74.389326121652758</v>
      </c>
      <c r="H62" s="404">
        <f t="shared" ca="1" si="5"/>
        <v>5.417450619460867E-3</v>
      </c>
      <c r="I62" s="404">
        <f t="shared" ca="1" si="6"/>
        <v>5.6708750776201652E-3</v>
      </c>
      <c r="J62" s="404">
        <f t="shared" ca="1" si="7"/>
        <v>120.43705554372671</v>
      </c>
      <c r="K62" s="411">
        <f t="shared" ca="1" si="8"/>
        <v>100.03777503089147</v>
      </c>
      <c r="L62" s="414">
        <f t="shared" ca="1" si="9"/>
        <v>289.25805498598902</v>
      </c>
      <c r="M62" s="417">
        <f t="shared" ca="1" si="10"/>
        <v>6.9892374392497816</v>
      </c>
    </row>
    <row r="63" spans="2:13" x14ac:dyDescent="0.2">
      <c r="B63" s="426">
        <f t="shared" si="12"/>
        <v>126</v>
      </c>
      <c r="C63" s="404">
        <f t="shared" si="1"/>
        <v>4.5823506064709748E-3</v>
      </c>
      <c r="D63" s="401">
        <f ca="1">MpropuPlein+0.5*MasseSans</f>
        <v>1.6073999999999999</v>
      </c>
      <c r="E63" s="401">
        <f t="shared" ca="1" si="2"/>
        <v>1.5695999999999999</v>
      </c>
      <c r="F63" s="401">
        <f t="shared" ca="1" si="3"/>
        <v>1.5318000000000001</v>
      </c>
      <c r="G63" s="408">
        <f t="shared" ca="1" si="4"/>
        <v>35.564617737003061</v>
      </c>
      <c r="H63" s="404">
        <f t="shared" ca="1" si="5"/>
        <v>2.919438459780183E-3</v>
      </c>
      <c r="I63" s="404">
        <f t="shared" ca="1" si="6"/>
        <v>2.9914810069662976E-3</v>
      </c>
      <c r="J63" s="404">
        <f t="shared" ca="1" si="7"/>
        <v>66.690385317959539</v>
      </c>
      <c r="K63" s="411">
        <f t="shared" ca="1" si="8"/>
        <v>62.682691412456151</v>
      </c>
      <c r="L63" s="414">
        <f t="shared" ca="1" si="9"/>
        <v>198.3338345304322</v>
      </c>
      <c r="M63" s="417">
        <f t="shared" ca="1" si="10"/>
        <v>6.8481811158933992</v>
      </c>
    </row>
    <row r="64" spans="2:13" x14ac:dyDescent="0.2">
      <c r="B64" s="426">
        <f t="shared" si="12"/>
        <v>126</v>
      </c>
      <c r="C64" s="404">
        <f t="shared" si="1"/>
        <v>4.5823506064709748E-3</v>
      </c>
      <c r="D64" s="401">
        <f ca="1">MpropuPlein+0.75*MasseSans</f>
        <v>2.3311500000000001</v>
      </c>
      <c r="E64" s="401">
        <f t="shared" ca="1" si="2"/>
        <v>2.2933500000000002</v>
      </c>
      <c r="F64" s="401">
        <f t="shared" ca="1" si="3"/>
        <v>2.2555499999999999</v>
      </c>
      <c r="G64" s="408">
        <f t="shared" ca="1" si="4"/>
        <v>21.24500686768264</v>
      </c>
      <c r="H64" s="404">
        <f t="shared" ca="1" si="5"/>
        <v>1.9981034759068502E-3</v>
      </c>
      <c r="I64" s="404">
        <f t="shared" ca="1" si="6"/>
        <v>2.0315890166349559E-3</v>
      </c>
      <c r="J64" s="404">
        <f t="shared" ca="1" si="7"/>
        <v>41.339340820988618</v>
      </c>
      <c r="K64" s="411">
        <f t="shared" ca="1" si="8"/>
        <v>40.237932319254028</v>
      </c>
      <c r="L64" s="414">
        <f t="shared" ca="1" si="9"/>
        <v>112.50497695616369</v>
      </c>
      <c r="M64" s="417">
        <f t="shared" ca="1" si="10"/>
        <v>5.7179538076680743</v>
      </c>
    </row>
    <row r="65" spans="2:13" x14ac:dyDescent="0.2">
      <c r="B65" s="426">
        <f t="shared" si="12"/>
        <v>126</v>
      </c>
      <c r="C65" s="404">
        <f t="shared" si="1"/>
        <v>4.5823506064709748E-3</v>
      </c>
      <c r="D65" s="401">
        <f ca="1">MpropuPlein+1*MasseSans</f>
        <v>3.0548999999999999</v>
      </c>
      <c r="E65" s="401">
        <f t="shared" ca="1" si="2"/>
        <v>3.0171000000000001</v>
      </c>
      <c r="F65" s="401">
        <f t="shared" ca="1" si="3"/>
        <v>2.9792999999999998</v>
      </c>
      <c r="G65" s="408">
        <f t="shared" ca="1" si="4"/>
        <v>13.795448941036094</v>
      </c>
      <c r="H65" s="404">
        <f t="shared" ca="1" si="5"/>
        <v>1.5187930815919175E-3</v>
      </c>
      <c r="I65" s="404">
        <f t="shared" ca="1" si="6"/>
        <v>1.5380628357234837E-3</v>
      </c>
      <c r="J65" s="404">
        <f t="shared" ca="1" si="7"/>
        <v>27.213900266054502</v>
      </c>
      <c r="K65" s="411">
        <f t="shared" ca="1" si="8"/>
        <v>26.845094927800176</v>
      </c>
      <c r="L65" s="414">
        <f t="shared" ca="1" si="9"/>
        <v>62.013813727607108</v>
      </c>
      <c r="M65" s="417">
        <f t="shared" ca="1" si="10"/>
        <v>4.6399069772597787</v>
      </c>
    </row>
    <row r="66" spans="2:13" x14ac:dyDescent="0.2">
      <c r="B66" s="426">
        <f t="shared" si="12"/>
        <v>126</v>
      </c>
      <c r="C66" s="404">
        <f t="shared" si="1"/>
        <v>4.5823506064709748E-3</v>
      </c>
      <c r="D66" s="401">
        <f ca="1">MpropuPlein+1.25*MasseSans</f>
        <v>3.7786499999999998</v>
      </c>
      <c r="E66" s="401">
        <f t="shared" ca="1" si="2"/>
        <v>3.74085</v>
      </c>
      <c r="F66" s="401">
        <f t="shared" ca="1" si="3"/>
        <v>3.7030499999999997</v>
      </c>
      <c r="G66" s="408">
        <f t="shared" ca="1" si="4"/>
        <v>9.228453827338706</v>
      </c>
      <c r="H66" s="404">
        <f t="shared" ca="1" si="5"/>
        <v>1.2249490373767925E-3</v>
      </c>
      <c r="I66" s="404">
        <f t="shared" ca="1" si="6"/>
        <v>1.2374530742147623E-3</v>
      </c>
      <c r="J66" s="404">
        <f t="shared" ca="1" si="7"/>
        <v>18.319466184307405</v>
      </c>
      <c r="K66" s="411">
        <f t="shared" ca="1" si="8"/>
        <v>18.183656881730904</v>
      </c>
      <c r="L66" s="414">
        <f t="shared" ca="1" si="9"/>
        <v>34.829964553820496</v>
      </c>
      <c r="M66" s="417">
        <f t="shared" ca="1" si="10"/>
        <v>3.8284401368383616</v>
      </c>
    </row>
    <row r="67" spans="2:13" x14ac:dyDescent="0.2">
      <c r="B67" s="426">
        <f t="shared" si="12"/>
        <v>126</v>
      </c>
      <c r="C67" s="404">
        <f t="shared" si="1"/>
        <v>4.5823506064709748E-3</v>
      </c>
      <c r="D67" s="401">
        <f ca="1">MpropuPlein+1.5*MasseSans</f>
        <v>4.5024000000000006</v>
      </c>
      <c r="E67" s="401">
        <f t="shared" ca="1" si="2"/>
        <v>4.4646000000000008</v>
      </c>
      <c r="F67" s="401">
        <f t="shared" ca="1" si="3"/>
        <v>4.426800000000001</v>
      </c>
      <c r="G67" s="408">
        <f t="shared" ca="1" si="4"/>
        <v>6.1421569681494379</v>
      </c>
      <c r="H67" s="404">
        <f t="shared" ca="1" si="5"/>
        <v>1.0263742791002495E-3</v>
      </c>
      <c r="I67" s="404">
        <f t="shared" ca="1" si="6"/>
        <v>1.0351383858477848E-3</v>
      </c>
      <c r="J67" s="404">
        <f t="shared" ca="1" si="7"/>
        <v>12.233030348919698</v>
      </c>
      <c r="K67" s="411">
        <f t="shared" ca="1" si="8"/>
        <v>12.182088680408246</v>
      </c>
      <c r="L67" s="414">
        <f t="shared" ca="1" si="9"/>
        <v>19.738296750713538</v>
      </c>
      <c r="M67" s="417">
        <f t="shared" ca="1" si="10"/>
        <v>3.2353814248818766</v>
      </c>
    </row>
    <row r="68" spans="2:13" x14ac:dyDescent="0.2">
      <c r="B68" s="426">
        <f t="shared" si="12"/>
        <v>126</v>
      </c>
      <c r="C68" s="404">
        <f t="shared" si="1"/>
        <v>4.5823506064709748E-3</v>
      </c>
      <c r="D68" s="401">
        <f ca="1">MpropuPlein+1.75*MasseSans</f>
        <v>5.2261500000000005</v>
      </c>
      <c r="E68" s="401">
        <f t="shared" ca="1" si="2"/>
        <v>5.1883500000000007</v>
      </c>
      <c r="F68" s="401">
        <f t="shared" ca="1" si="3"/>
        <v>5.1505500000000008</v>
      </c>
      <c r="G68" s="408">
        <f t="shared" ca="1" si="4"/>
        <v>3.9169073983058169</v>
      </c>
      <c r="H68" s="404">
        <f t="shared" ca="1" si="5"/>
        <v>8.8319997811847194E-4</v>
      </c>
      <c r="I68" s="404">
        <f t="shared" ca="1" si="6"/>
        <v>8.8968180222907724E-4</v>
      </c>
      <c r="J68" s="404">
        <f t="shared" ca="1" si="7"/>
        <v>7.8158142541413715</v>
      </c>
      <c r="K68" s="411">
        <f t="shared" ca="1" si="8"/>
        <v>7.7978798230123756</v>
      </c>
      <c r="L68" s="414">
        <f t="shared" ca="1" si="9"/>
        <v>10.906531829103487</v>
      </c>
      <c r="M68" s="417">
        <f t="shared" ca="1" si="10"/>
        <v>2.7934345408998817</v>
      </c>
    </row>
    <row r="69" spans="2:13" x14ac:dyDescent="0.2">
      <c r="B69" s="427">
        <f t="shared" si="12"/>
        <v>126</v>
      </c>
      <c r="C69" s="405">
        <f t="shared" si="1"/>
        <v>4.5823506064709748E-3</v>
      </c>
      <c r="D69" s="402">
        <f ca="1">MpropuPlein+2*MasseSans</f>
        <v>5.9499000000000004</v>
      </c>
      <c r="E69" s="402">
        <f t="shared" ca="1" si="2"/>
        <v>5.9121000000000006</v>
      </c>
      <c r="F69" s="402">
        <f t="shared" ca="1" si="3"/>
        <v>5.8743000000000007</v>
      </c>
      <c r="G69" s="409">
        <f t="shared" ca="1" si="4"/>
        <v>2.2364809458568011</v>
      </c>
      <c r="H69" s="405">
        <f t="shared" ca="1" si="5"/>
        <v>7.7508002342162254E-4</v>
      </c>
      <c r="I69" s="405">
        <f t="shared" ca="1" si="6"/>
        <v>7.8006751552882456E-4</v>
      </c>
      <c r="J69" s="405">
        <f t="shared" ca="1" si="7"/>
        <v>4.4678023204592536</v>
      </c>
      <c r="K69" s="412">
        <f t="shared" ca="1" si="8"/>
        <v>4.4626522668650477</v>
      </c>
      <c r="L69" s="415">
        <f t="shared" ca="1" si="9"/>
        <v>5.4820486425134689</v>
      </c>
      <c r="M69" s="418">
        <f t="shared" ca="1" si="10"/>
        <v>2.4546685827453394</v>
      </c>
    </row>
    <row r="73" spans="2:13" x14ac:dyDescent="0.2">
      <c r="B73" s="24" t="str">
        <f>IF(Lang="Français","Textes pour les graphiques :","Texts for graphics :")</f>
        <v>Textes pour les graphiques :</v>
      </c>
    </row>
    <row r="75" spans="2:13" x14ac:dyDescent="0.2">
      <c r="B75" t="str">
        <f>IF(Lang="Français","Masse totale",IF(Lang="English","Total Mass",""))</f>
        <v>Masse totale</v>
      </c>
    </row>
    <row r="76" spans="2:13" x14ac:dyDescent="0.2">
      <c r="B76" t="str">
        <f>IF(Lang="Français","Vitesse max",IF(Lang="English","Max Velocity",""))</f>
        <v>Vitesse max</v>
      </c>
    </row>
    <row r="77" spans="2:13" x14ac:dyDescent="0.2">
      <c r="B77" t="str">
        <f>Abaco!$B$76 &amp; " / " &amp; Abaco!$B$75</f>
        <v>Vitesse max / Masse totale</v>
      </c>
    </row>
    <row r="78" spans="2:13" x14ac:dyDescent="0.2">
      <c r="B78" t="str">
        <f>IF(Lang="Français","Altitude max",IF(Lang="English","Max Altitude",""))</f>
        <v>Altitude max</v>
      </c>
    </row>
    <row r="79" spans="2:13" x14ac:dyDescent="0.2">
      <c r="B79" t="str">
        <f>Abaco!$B$78 &amp; " / " &amp; Abaco!$B$75</f>
        <v>Altitude max / Masse totale</v>
      </c>
    </row>
    <row r="80" spans="2:13" x14ac:dyDescent="0.2">
      <c r="B80" t="str">
        <f>IF(Lang="Français","Temps de culmination",IF(Lang="English","Apogee time",""))</f>
        <v>Temps de culmination</v>
      </c>
    </row>
    <row r="81" spans="2:2" x14ac:dyDescent="0.2">
      <c r="B81" t="str">
        <f>Abaco!$B$80 &amp; " / " &amp; Abaco!$B$75</f>
        <v>Temps de culmination / Masse totale</v>
      </c>
    </row>
  </sheetData>
  <sheetProtection algorithmName="SHA-512" hashValue="+PTrTvch0rD/oo5wbJAiLSXEwsZuHYCw11E5jJpN7UFv8bqEgAVA+seu72dez5dZDB7fUdwejfBNAFZdr7g5pg==" saltValue="gnM8LKYZzdY29Fufgy5vJQ==" spinCount="100000" sheet="1"/>
  <mergeCells count="13">
    <mergeCell ref="C11:D11"/>
    <mergeCell ref="C13:D13"/>
    <mergeCell ref="C15:D15"/>
    <mergeCell ref="C16:D16"/>
    <mergeCell ref="C17:D17"/>
    <mergeCell ref="C12:D12"/>
    <mergeCell ref="C10:D10"/>
    <mergeCell ref="C9:D9"/>
    <mergeCell ref="C2:D3"/>
    <mergeCell ref="C4:D4"/>
    <mergeCell ref="C5:D5"/>
    <mergeCell ref="C7:D7"/>
    <mergeCell ref="C8:D8"/>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390525</xdr:colOff>
                <xdr:row>70</xdr:row>
                <xdr:rowOff>28575</xdr:rowOff>
              </from>
              <to>
                <xdr:col>12</xdr:col>
                <xdr:colOff>904875</xdr:colOff>
                <xdr:row>87</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657225</xdr:colOff>
                    <xdr:row>9</xdr:row>
                    <xdr:rowOff>200025</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657225</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topLeftCell="A31" workbookViewId="0">
      <selection activeCell="G46" sqref="G46"/>
    </sheetView>
  </sheetViews>
  <sheetFormatPr baseColWidth="10" defaultRowHeight="12.75" x14ac:dyDescent="0.2"/>
  <cols>
    <col min="1" max="1" width="2.140625" customWidth="1"/>
    <col min="2" max="2" width="16.140625" customWidth="1"/>
    <col min="3" max="4" width="13.5703125" customWidth="1"/>
  </cols>
  <sheetData>
    <row r="2" spans="3:8" x14ac:dyDescent="0.2">
      <c r="C2" s="632" t="s">
        <v>178</v>
      </c>
      <c r="D2" s="632"/>
    </row>
    <row r="3" spans="3:8" x14ac:dyDescent="0.2">
      <c r="C3" s="632"/>
      <c r="D3" s="632"/>
    </row>
    <row r="5" spans="3:8" x14ac:dyDescent="0.2">
      <c r="C5" s="13" t="str">
        <f>IF(Lang="Français","Stabilité de fusée à ailerons","Stability of finned rocket")</f>
        <v>Stabilité de fusée à ailerons</v>
      </c>
    </row>
    <row r="6" spans="3:8" x14ac:dyDescent="0.2">
      <c r="C6" s="2" t="str">
        <f>IF(Lang="Français","Calculs de Stabilité basés sur les équations de Barrowman","Stability calculs are based on Barrowman equations")</f>
        <v>Calculs de Stabilité basés sur les équations de Barrowman</v>
      </c>
    </row>
    <row r="7" spans="3:8" x14ac:dyDescent="0.2">
      <c r="C7" s="13" t="str">
        <f>IF(Lang="Français","Trajectographie de fusée","Rocket Trajectography")</f>
        <v>Trajectographie de fusée</v>
      </c>
    </row>
    <row r="8" spans="3:8" x14ac:dyDescent="0.2">
      <c r="C8" s="2" t="str">
        <f>IF(Lang="Français","Trajectoire dans un plan par calcul pas à pas","Trajectory in a plane, step by step computation")</f>
        <v>Trajectoire dans un plan par calcul pas à pas</v>
      </c>
    </row>
    <row r="9" spans="3:8" x14ac:dyDescent="0.2">
      <c r="C9" s="2"/>
    </row>
    <row r="10" spans="3:8" x14ac:dyDescent="0.2">
      <c r="C10" s="14"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15" t="s">
        <v>39</v>
      </c>
    </row>
    <row r="15" spans="3:8" x14ac:dyDescent="0.2">
      <c r="C15" s="14" t="str">
        <f>IF(Lang="Français","Pour les experts :","For experts:")</f>
        <v>Pour les experts :</v>
      </c>
    </row>
    <row r="16" spans="3:8" x14ac:dyDescent="0.2">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t="str">
        <f>IF(Lang="Français","et faire vos modifications personnelles (ajout de moteur...).","and do your personal modification (adding a motor...)")</f>
        <v>et faire vos modifications personnelles (ajout de moteur...).</v>
      </c>
    </row>
    <row r="18" spans="3:8" x14ac:dyDescent="0.2">
      <c r="C18" t="s">
        <v>419</v>
      </c>
    </row>
    <row r="19" spans="3:8" x14ac:dyDescent="0.2">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t="str">
        <f>IF(Lang="Français","Aucune Macro. Mise en forme conditionnelle, Noms de zone.","No macro. Conditionnal formating, named zones.")</f>
        <v>Aucune Macro. Mise en forme conditionnelle, Noms de zone.</v>
      </c>
    </row>
    <row r="21" spans="3:8" x14ac:dyDescent="0.2">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48" t="str">
        <f>IF(Lang="Français","Les unités sont réglés dans le Format de la cellule.","Units are set in cell number Format")</f>
        <v>Les unités sont réglés dans le Format de la cellule.</v>
      </c>
      <c r="H22" s="15" t="s">
        <v>37</v>
      </c>
    </row>
    <row r="23" spans="3:8" x14ac:dyDescent="0.2">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
      <c r="C25" s="14" t="str">
        <f>IF(Lang="Français","Licence :","License:")</f>
        <v>Licence :</v>
      </c>
      <c r="D25" s="16"/>
    </row>
    <row r="26" spans="3:8" x14ac:dyDescent="0.2">
      <c r="C26" t="str">
        <f>IF(Lang="Français","Ce logiciel est placé sous la licence Creative Commons BY-SA","This software is placed under Creative Commons licence BY-SA")</f>
        <v>Ce logiciel est placé sous la licence Creative Commons BY-SA</v>
      </c>
      <c r="H26" s="68" t="s">
        <v>122</v>
      </c>
    </row>
    <row r="28" spans="3:8" x14ac:dyDescent="0.2">
      <c r="C28" s="14" t="str">
        <f>IF(Lang="Français","Compatibilité :","Compatibility:")</f>
        <v>Compatibilité :</v>
      </c>
    </row>
    <row r="29" spans="3:8" x14ac:dyDescent="0.2">
      <c r="C29" t="s">
        <v>152</v>
      </c>
    </row>
    <row r="30" spans="3:8" x14ac:dyDescent="0.2">
      <c r="C30" t="s">
        <v>301</v>
      </c>
    </row>
    <row r="31" spans="3:8" x14ac:dyDescent="0.2">
      <c r="C31" s="49" t="s">
        <v>110</v>
      </c>
    </row>
    <row r="33" spans="3:6" x14ac:dyDescent="0.2">
      <c r="C33" s="14" t="str">
        <f>IF(Lang="Français","Historique :","History:")</f>
        <v>Historique :</v>
      </c>
    </row>
    <row r="34" spans="3:6" x14ac:dyDescent="0.2">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2">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105</v>
      </c>
      <c r="D37" t="s">
        <v>42</v>
      </c>
      <c r="E37" s="16">
        <v>39694</v>
      </c>
      <c r="F37" t="str">
        <f>IF(Lang="Français","Mise en forme","Formatting")</f>
        <v>Mise en forme</v>
      </c>
    </row>
    <row r="38" spans="3:6" x14ac:dyDescent="0.2">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2">
      <c r="C39" t="s">
        <v>107</v>
      </c>
      <c r="D39" t="s">
        <v>42</v>
      </c>
      <c r="E39" s="16">
        <v>39755</v>
      </c>
      <c r="F39" t="str">
        <f>IF(Lang="Français","Réécriture équations, traduction, érgonomie","Equations, traduction, ergonomy")</f>
        <v>Réécriture équations, traduction, érgonomie</v>
      </c>
    </row>
    <row r="40" spans="3:6" x14ac:dyDescent="0.2">
      <c r="C40" t="s">
        <v>108</v>
      </c>
      <c r="D40" t="s">
        <v>42</v>
      </c>
      <c r="E40" s="16">
        <v>39756</v>
      </c>
      <c r="F40" t="str">
        <f>IF(Lang="Français","Conditions Initiales pour vol 2e étage, 1ère publication","Initial Conditions, 1st publication")</f>
        <v>Conditions Initiales pour vol 2e étage, 1ère publication</v>
      </c>
    </row>
    <row r="41" spans="3:6" x14ac:dyDescent="0.2">
      <c r="C41" t="s">
        <v>109</v>
      </c>
      <c r="D41" t="s">
        <v>42</v>
      </c>
      <c r="E41" s="16">
        <v>40658</v>
      </c>
      <c r="F41" t="s">
        <v>52</v>
      </c>
    </row>
    <row r="42" spans="3:6" x14ac:dyDescent="0.2">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2">
      <c r="C43" t="s">
        <v>327</v>
      </c>
      <c r="D43" t="s">
        <v>42</v>
      </c>
      <c r="E43" s="16">
        <v>41194</v>
      </c>
      <c r="F43" t="s">
        <v>331</v>
      </c>
    </row>
    <row r="44" spans="3:6" x14ac:dyDescent="0.2">
      <c r="C44" t="s">
        <v>328</v>
      </c>
      <c r="D44" t="s">
        <v>42</v>
      </c>
      <c r="E44" s="16">
        <v>41329</v>
      </c>
      <c r="F44" t="s">
        <v>332</v>
      </c>
    </row>
    <row r="45" spans="3:6" x14ac:dyDescent="0.2">
      <c r="C45" t="s">
        <v>416</v>
      </c>
      <c r="D45" t="s">
        <v>395</v>
      </c>
      <c r="E45" s="16">
        <v>41947</v>
      </c>
      <c r="F45" t="s">
        <v>415</v>
      </c>
    </row>
    <row r="46" spans="3:6" x14ac:dyDescent="0.2">
      <c r="C46" t="s">
        <v>420</v>
      </c>
      <c r="D46" t="s">
        <v>395</v>
      </c>
      <c r="E46" s="16">
        <v>41965</v>
      </c>
      <c r="F46" t="s">
        <v>418</v>
      </c>
    </row>
    <row r="47" spans="3:6" x14ac:dyDescent="0.2">
      <c r="C47" t="s">
        <v>542</v>
      </c>
      <c r="D47" t="s">
        <v>395</v>
      </c>
      <c r="E47" s="16">
        <v>43048</v>
      </c>
      <c r="F47" t="s">
        <v>543</v>
      </c>
    </row>
    <row r="48" spans="3:6" x14ac:dyDescent="0.2">
      <c r="C48" t="s">
        <v>546</v>
      </c>
      <c r="D48" t="s">
        <v>395</v>
      </c>
      <c r="E48" s="16">
        <v>44160</v>
      </c>
      <c r="F48" t="s">
        <v>547</v>
      </c>
    </row>
    <row r="49" spans="3:6" x14ac:dyDescent="0.2">
      <c r="C49" t="s">
        <v>555</v>
      </c>
      <c r="D49" t="s">
        <v>553</v>
      </c>
      <c r="E49" s="16">
        <v>45300</v>
      </c>
      <c r="F49" t="s">
        <v>554</v>
      </c>
    </row>
    <row r="50" spans="3:6" x14ac:dyDescent="0.2">
      <c r="C50" t="s">
        <v>557</v>
      </c>
      <c r="D50" t="s">
        <v>395</v>
      </c>
      <c r="E50" s="16">
        <v>45322</v>
      </c>
      <c r="F50" t="s">
        <v>562</v>
      </c>
    </row>
    <row r="51" spans="3:6" x14ac:dyDescent="0.2">
      <c r="C51" t="s">
        <v>566</v>
      </c>
      <c r="D51" t="s">
        <v>395</v>
      </c>
      <c r="E51" s="16">
        <v>45325</v>
      </c>
      <c r="F51" t="s">
        <v>565</v>
      </c>
    </row>
    <row r="52" spans="3:6" x14ac:dyDescent="0.2">
      <c r="E52" s="16"/>
    </row>
    <row r="53" spans="3:6" x14ac:dyDescent="0.2">
      <c r="C53" s="14" t="str">
        <f>IF(Lang="Français","Paramètres de référence :","Reference parameters:")</f>
        <v>Paramètres de référence :</v>
      </c>
    </row>
    <row r="54" spans="3:6" x14ac:dyDescent="0.2">
      <c r="C54" s="62" t="str">
        <f>IF(Lang="Français","Gravité g :","Gravity g")</f>
        <v>Gravité g :</v>
      </c>
      <c r="E54" s="62">
        <v>9.81</v>
      </c>
      <c r="F54" s="62" t="s">
        <v>7</v>
      </c>
    </row>
    <row r="55" spans="3:6" x14ac:dyDescent="0.2">
      <c r="C55" s="62" t="str">
        <f>IF(Lang="Français","Masse volumique de l'air ρ :","Air density ρ")</f>
        <v>Masse volumique de l'air ρ :</v>
      </c>
      <c r="E55" s="63">
        <v>1.2250000000000001</v>
      </c>
      <c r="F55" s="62" t="s">
        <v>8</v>
      </c>
    </row>
    <row r="56" spans="3:6" x14ac:dyDescent="0.2">
      <c r="C56" s="48"/>
    </row>
    <row r="57" spans="3:6" x14ac:dyDescent="0.2">
      <c r="C57" s="48"/>
    </row>
    <row r="58" spans="3:6" x14ac:dyDescent="0.2">
      <c r="C58" s="48"/>
    </row>
    <row r="59" spans="3:6" x14ac:dyDescent="0.2">
      <c r="C59" s="48"/>
    </row>
    <row r="60" spans="3:6" x14ac:dyDescent="0.2">
      <c r="C60" s="48"/>
    </row>
    <row r="61" spans="3:6" x14ac:dyDescent="0.2">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L39" sqref="L39"/>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85546875" customWidth="1"/>
    <col min="10" max="10" width="10" customWidth="1"/>
    <col min="11" max="11" width="13" customWidth="1"/>
    <col min="12" max="12" width="21.140625" customWidth="1"/>
    <col min="14" max="14" width="2.140625" customWidth="1"/>
    <col min="18" max="19" width="16.140625" customWidth="1"/>
  </cols>
  <sheetData>
    <row r="1" spans="2:21" ht="13.5" thickBot="1" x14ac:dyDescent="0.25">
      <c r="O1" s="6"/>
      <c r="P1" s="48"/>
      <c r="Q1" s="48"/>
      <c r="R1" s="48"/>
      <c r="S1" s="48"/>
      <c r="T1" s="48"/>
      <c r="U1" s="48"/>
    </row>
    <row r="2" spans="2:21" ht="13.5" thickBot="1" x14ac:dyDescent="0.25">
      <c r="B2" s="71"/>
      <c r="C2" s="72"/>
      <c r="D2" s="72"/>
      <c r="E2" s="72"/>
      <c r="F2" s="72"/>
      <c r="G2" s="72"/>
      <c r="H2" s="72"/>
      <c r="I2" s="72"/>
      <c r="J2" s="72"/>
      <c r="K2" s="72"/>
      <c r="L2" s="72"/>
      <c r="M2" s="72"/>
      <c r="N2" s="73"/>
      <c r="O2" s="6"/>
      <c r="P2" s="48"/>
      <c r="Q2" s="48"/>
      <c r="R2" s="48"/>
      <c r="S2" s="48"/>
      <c r="T2" s="48"/>
      <c r="U2" s="48"/>
    </row>
    <row r="3" spans="2:21" ht="15.75" customHeight="1" thickBot="1" x14ac:dyDescent="0.25">
      <c r="B3" s="74"/>
      <c r="D3" s="2" t="s">
        <v>429</v>
      </c>
      <c r="N3" s="75"/>
      <c r="O3" s="6"/>
      <c r="P3" s="273" t="s">
        <v>340</v>
      </c>
      <c r="Q3" s="441">
        <f>Long_ogive</f>
        <v>252</v>
      </c>
      <c r="R3" s="48"/>
      <c r="S3" s="48"/>
      <c r="T3" s="48"/>
      <c r="U3" s="48"/>
    </row>
    <row r="4" spans="2:21" ht="15.75" customHeight="1" x14ac:dyDescent="0.2">
      <c r="B4" s="74"/>
      <c r="D4" s="2" t="s">
        <v>564</v>
      </c>
      <c r="E4" t="str">
        <f>Matricule</f>
        <v/>
      </c>
      <c r="N4" s="75"/>
      <c r="O4" s="6"/>
      <c r="P4" s="273"/>
      <c r="Q4" s="436"/>
      <c r="R4" s="48"/>
      <c r="S4" s="48"/>
      <c r="T4" s="48"/>
      <c r="U4" s="48"/>
    </row>
    <row r="5" spans="2:21" ht="15.75" customHeight="1" x14ac:dyDescent="0.2">
      <c r="B5" s="74"/>
      <c r="D5" t="s">
        <v>462</v>
      </c>
      <c r="E5" t="str">
        <f>Propu</f>
        <v>Pandora (Pro24-6G BS)</v>
      </c>
      <c r="G5" t="s">
        <v>459</v>
      </c>
      <c r="H5">
        <f>MasseSans</f>
        <v>2.895</v>
      </c>
      <c r="N5" s="75"/>
      <c r="O5" s="6"/>
      <c r="P5" s="273"/>
      <c r="Q5" s="436"/>
      <c r="R5" s="48"/>
      <c r="S5" s="48"/>
      <c r="T5" s="48"/>
      <c r="U5" s="48"/>
    </row>
    <row r="6" spans="2:21" x14ac:dyDescent="0.2">
      <c r="B6" s="74"/>
      <c r="D6" t="s">
        <v>455</v>
      </c>
      <c r="E6" s="2" t="str">
        <f>Trajecto!H34</f>
        <v>Brun/Orange…</v>
      </c>
      <c r="G6" t="s">
        <v>460</v>
      </c>
      <c r="H6">
        <f>D_ref</f>
        <v>84</v>
      </c>
      <c r="N6" s="75"/>
      <c r="O6" s="6"/>
      <c r="P6" s="273"/>
      <c r="Q6" s="436"/>
      <c r="R6" s="48"/>
      <c r="S6" s="48"/>
      <c r="T6" s="48"/>
      <c r="U6" s="48"/>
    </row>
    <row r="7" spans="2:21" x14ac:dyDescent="0.2">
      <c r="B7" s="74"/>
      <c r="D7" t="s">
        <v>457</v>
      </c>
      <c r="E7" s="2" t="str">
        <f>Trajecto!H35</f>
        <v>Rouge…</v>
      </c>
      <c r="G7" t="s">
        <v>5</v>
      </c>
      <c r="H7">
        <f>Cx</f>
        <v>0.6</v>
      </c>
      <c r="N7" s="75"/>
      <c r="O7" s="6"/>
      <c r="P7" s="273"/>
      <c r="Q7" s="436"/>
      <c r="R7" s="48"/>
      <c r="S7" s="48"/>
      <c r="T7" s="48"/>
      <c r="U7" s="48"/>
    </row>
    <row r="8" spans="2:21" x14ac:dyDescent="0.2">
      <c r="B8" s="74"/>
      <c r="D8" t="s">
        <v>458</v>
      </c>
      <c r="E8" s="2">
        <f>S_para</f>
        <v>0.48049999999999998</v>
      </c>
      <c r="G8" t="s">
        <v>461</v>
      </c>
      <c r="H8">
        <f>L_rampe</f>
        <v>2.5</v>
      </c>
      <c r="N8" s="75"/>
      <c r="O8" s="6"/>
      <c r="P8" s="273"/>
      <c r="Q8" s="436"/>
      <c r="R8" s="48"/>
      <c r="S8" s="48"/>
      <c r="T8" s="48"/>
      <c r="U8" s="48"/>
    </row>
    <row r="9" spans="2:21" x14ac:dyDescent="0.2">
      <c r="B9" s="74"/>
      <c r="D9" t="s">
        <v>456</v>
      </c>
      <c r="E9" s="2"/>
      <c r="G9" t="s">
        <v>146</v>
      </c>
      <c r="H9" s="532" t="str">
        <f>Forme_ogive</f>
        <v>Conique (droite)</v>
      </c>
      <c r="N9" s="75"/>
      <c r="O9" s="6"/>
      <c r="P9" s="273"/>
      <c r="Q9" s="436"/>
      <c r="R9" s="48"/>
      <c r="S9" s="48"/>
      <c r="T9" s="48"/>
      <c r="U9" s="48"/>
    </row>
    <row r="10" spans="2:21" x14ac:dyDescent="0.2">
      <c r="B10" s="74"/>
      <c r="F10" s="3"/>
      <c r="G10" s="6"/>
      <c r="N10" s="75"/>
      <c r="O10" s="521"/>
      <c r="P10" s="48"/>
      <c r="Q10" s="436"/>
      <c r="R10" s="48"/>
      <c r="S10" s="48"/>
      <c r="T10" s="48"/>
      <c r="U10" s="48"/>
    </row>
    <row r="11" spans="2:21" ht="13.5" thickBot="1" x14ac:dyDescent="0.25">
      <c r="B11" s="74"/>
      <c r="C11" s="12"/>
      <c r="D11" s="275" t="s">
        <v>454</v>
      </c>
      <c r="E11" s="243">
        <f>MasseSans</f>
        <v>2.895</v>
      </c>
      <c r="F11" s="246" t="s">
        <v>123</v>
      </c>
      <c r="G11" s="246" t="s">
        <v>125</v>
      </c>
      <c r="H11" s="668" t="e">
        <f ca="1">Vsortie_de_rampe</f>
        <v>#N/A</v>
      </c>
      <c r="I11" s="669"/>
      <c r="J11" s="76"/>
      <c r="N11" s="75"/>
      <c r="P11" s="48"/>
      <c r="Q11" s="436"/>
      <c r="R11" s="48"/>
      <c r="S11" s="48"/>
      <c r="T11" s="48"/>
      <c r="U11" s="440">
        <f>IF(RIGHT(Nb_diam,1)=",", "", X_j)</f>
        <v>0</v>
      </c>
    </row>
    <row r="12" spans="2:21" ht="13.5" thickBot="1" x14ac:dyDescent="0.25">
      <c r="B12" s="74"/>
      <c r="C12" s="12"/>
      <c r="D12" s="276"/>
      <c r="E12" s="244"/>
      <c r="F12" s="6" t="s">
        <v>123</v>
      </c>
      <c r="G12" s="6" t="s">
        <v>126</v>
      </c>
      <c r="H12" s="670">
        <f>Finesse</f>
        <v>11.80952380952381</v>
      </c>
      <c r="I12" s="671"/>
      <c r="J12" s="76"/>
      <c r="N12" s="75"/>
      <c r="O12" s="6"/>
      <c r="P12" s="273" t="s">
        <v>341</v>
      </c>
      <c r="Q12" s="441">
        <f>D_og</f>
        <v>84</v>
      </c>
      <c r="R12" s="48"/>
      <c r="S12" s="48"/>
      <c r="T12" s="48"/>
      <c r="U12" s="436"/>
    </row>
    <row r="13" spans="2:21" x14ac:dyDescent="0.2">
      <c r="B13" s="74"/>
      <c r="C13" s="12"/>
      <c r="D13" s="276" t="s">
        <v>5</v>
      </c>
      <c r="E13" s="244">
        <f>Cx</f>
        <v>0.6</v>
      </c>
      <c r="F13" s="6" t="s">
        <v>123</v>
      </c>
      <c r="G13" s="6" t="s">
        <v>433</v>
      </c>
      <c r="H13" s="670">
        <f>Cn</f>
        <v>15.602161052846441</v>
      </c>
      <c r="I13" s="671"/>
      <c r="J13" s="76"/>
      <c r="N13" s="75"/>
      <c r="O13" s="6"/>
      <c r="P13" s="48"/>
      <c r="Q13" s="436"/>
      <c r="R13" s="48"/>
      <c r="S13" s="48"/>
      <c r="T13" s="48"/>
      <c r="U13" s="440">
        <f>IF(RIGHT(Nb_diam,1)=",", "", X_r)</f>
        <v>0</v>
      </c>
    </row>
    <row r="14" spans="2:21" x14ac:dyDescent="0.2">
      <c r="B14" s="74"/>
      <c r="C14" s="12"/>
      <c r="D14" s="276" t="s">
        <v>143</v>
      </c>
      <c r="E14" s="244">
        <f>L_rampe</f>
        <v>2.5</v>
      </c>
      <c r="F14" s="6" t="s">
        <v>123</v>
      </c>
      <c r="G14" s="6" t="s">
        <v>127</v>
      </c>
      <c r="H14" s="247">
        <f ca="1">MS_min</f>
        <v>2.6598770163626191</v>
      </c>
      <c r="I14" s="254">
        <f ca="1">MS_max</f>
        <v>2.7451862629500878</v>
      </c>
      <c r="J14" s="76"/>
      <c r="K14" s="76"/>
      <c r="N14" s="75"/>
      <c r="P14" s="48"/>
      <c r="Q14" s="436"/>
      <c r="R14" s="48"/>
      <c r="S14" s="48"/>
      <c r="T14" s="48"/>
      <c r="U14" s="436"/>
    </row>
    <row r="15" spans="2:21" x14ac:dyDescent="0.2">
      <c r="B15" s="74"/>
      <c r="C15" s="12"/>
      <c r="D15" s="276" t="s">
        <v>144</v>
      </c>
      <c r="E15" s="244">
        <f>ep_ail</f>
        <v>3</v>
      </c>
      <c r="F15" s="6" t="s">
        <v>123</v>
      </c>
      <c r="G15" s="6" t="s">
        <v>124</v>
      </c>
      <c r="H15" s="247">
        <f ca="1">MS_Cn_min</f>
        <v>41.499829590054247</v>
      </c>
      <c r="I15" s="254">
        <f ca="1">MS_Cn_max</f>
        <v>42.83083819460893</v>
      </c>
      <c r="J15" s="76"/>
      <c r="K15" s="76"/>
      <c r="N15" s="75"/>
      <c r="P15" s="48"/>
      <c r="Q15" s="436"/>
      <c r="R15" s="48"/>
      <c r="S15" s="48"/>
      <c r="T15" s="48"/>
    </row>
    <row r="16" spans="2:21" x14ac:dyDescent="0.2">
      <c r="B16" s="74"/>
      <c r="C16" s="12"/>
      <c r="D16" s="276" t="s">
        <v>145</v>
      </c>
      <c r="E16" s="244">
        <f>Q_ail</f>
        <v>4</v>
      </c>
      <c r="F16" s="6" t="s">
        <v>128</v>
      </c>
      <c r="G16" s="6" t="s">
        <v>129</v>
      </c>
      <c r="H16" s="247">
        <f ca="1">V_para</f>
        <v>9.9653344657812006</v>
      </c>
      <c r="I16" s="253">
        <f>V_satellite</f>
        <v>10.960038730752361</v>
      </c>
      <c r="J16" s="76"/>
      <c r="N16" s="75"/>
      <c r="P16" s="48"/>
      <c r="Q16" s="436"/>
      <c r="R16" s="48"/>
      <c r="S16" s="48"/>
      <c r="T16" s="48"/>
      <c r="U16" s="440">
        <f>IF(RIGHT(Nb_diam,1)=",", "", l_j)</f>
        <v>0</v>
      </c>
    </row>
    <row r="17" spans="2:21" x14ac:dyDescent="0.2">
      <c r="B17" s="74"/>
      <c r="C17" s="12"/>
      <c r="D17" s="276" t="s">
        <v>146</v>
      </c>
      <c r="E17" s="272" t="str">
        <f>Forme_ogive</f>
        <v>Conique (droite)</v>
      </c>
      <c r="F17" s="6" t="s">
        <v>130</v>
      </c>
      <c r="G17" s="6" t="s">
        <v>131</v>
      </c>
      <c r="H17" s="670">
        <f>T_para</f>
        <v>15.5</v>
      </c>
      <c r="I17" s="671"/>
      <c r="J17" s="258"/>
      <c r="N17" s="75"/>
      <c r="P17" s="434" t="s">
        <v>342</v>
      </c>
      <c r="Q17" s="440">
        <f>IF(RIGHT(Nb_diam,1)=",", "", D2j)</f>
        <v>0</v>
      </c>
      <c r="R17" s="48"/>
      <c r="S17" s="48"/>
      <c r="T17" s="48"/>
      <c r="U17" s="436"/>
    </row>
    <row r="18" spans="2:21" x14ac:dyDescent="0.2">
      <c r="B18" s="74"/>
      <c r="C18" s="12"/>
      <c r="D18" s="276" t="s">
        <v>148</v>
      </c>
      <c r="E18" s="244">
        <f ca="1">XpropuRef-Long_propu</f>
        <v>714</v>
      </c>
      <c r="F18" s="12" t="s">
        <v>130</v>
      </c>
      <c r="G18" s="12" t="s">
        <v>427</v>
      </c>
      <c r="H18" s="635">
        <f ca="1">T_para-Combustion-Depotage</f>
        <v>1.5299999999999994</v>
      </c>
      <c r="I18" s="674"/>
      <c r="N18" s="75"/>
      <c r="P18" s="48"/>
      <c r="Q18" s="436"/>
      <c r="R18" s="48"/>
      <c r="S18" s="48"/>
    </row>
    <row r="19" spans="2:21" x14ac:dyDescent="0.2">
      <c r="B19" s="74"/>
      <c r="C19" s="531"/>
      <c r="D19" s="269"/>
      <c r="E19" s="271"/>
      <c r="F19" s="519" t="s">
        <v>132</v>
      </c>
      <c r="G19" s="274" t="s">
        <v>426</v>
      </c>
      <c r="H19" s="675">
        <f ca="1">Portee_balistique</f>
        <v>745.87074281998321</v>
      </c>
      <c r="I19" s="676"/>
      <c r="N19" s="75"/>
      <c r="P19" s="48"/>
      <c r="Q19" s="436"/>
      <c r="R19" s="48"/>
      <c r="S19" s="48"/>
      <c r="T19" s="48"/>
    </row>
    <row r="20" spans="2:21" x14ac:dyDescent="0.2">
      <c r="B20" s="74"/>
      <c r="C20" s="12"/>
      <c r="D20" s="6"/>
      <c r="E20" s="6"/>
      <c r="H20" s="518"/>
      <c r="I20" s="518"/>
      <c r="N20" s="75"/>
      <c r="P20" s="48"/>
      <c r="Q20" s="436"/>
      <c r="R20" s="48"/>
      <c r="S20" s="48"/>
      <c r="T20" s="48"/>
      <c r="U20" s="440">
        <f>IF(RIGHT(Nb_diam,1)=",", "", l_r)</f>
        <v>0</v>
      </c>
    </row>
    <row r="21" spans="2:21" x14ac:dyDescent="0.2">
      <c r="B21" s="74"/>
      <c r="C21" s="12"/>
      <c r="D21" s="6"/>
      <c r="E21" s="263"/>
      <c r="F21" s="3"/>
      <c r="G21" s="6"/>
      <c r="H21" s="518"/>
      <c r="I21" s="518"/>
      <c r="N21" s="75"/>
      <c r="O21" s="273"/>
      <c r="P21" s="436"/>
      <c r="Q21" s="48"/>
      <c r="R21" s="48"/>
      <c r="S21" s="48"/>
      <c r="T21" s="226"/>
      <c r="U21" s="436"/>
    </row>
    <row r="22" spans="2:21" x14ac:dyDescent="0.2">
      <c r="B22" s="74"/>
      <c r="C22" s="526" t="s">
        <v>453</v>
      </c>
      <c r="D22" s="526" t="s">
        <v>437</v>
      </c>
      <c r="E22" s="527"/>
      <c r="F22" s="528" t="s">
        <v>442</v>
      </c>
      <c r="G22" s="526" t="s">
        <v>447</v>
      </c>
      <c r="I22" s="529"/>
      <c r="J22" s="530" t="s">
        <v>156</v>
      </c>
      <c r="K22" s="526" t="s">
        <v>157</v>
      </c>
      <c r="N22" s="75"/>
      <c r="O22" s="273"/>
      <c r="P22" s="436"/>
      <c r="Q22" s="48"/>
      <c r="R22" s="48"/>
      <c r="S22" s="48"/>
      <c r="T22" s="226"/>
      <c r="U22" s="436"/>
    </row>
    <row r="23" spans="2:21" x14ac:dyDescent="0.2">
      <c r="B23" s="74"/>
      <c r="C23" s="526" t="s">
        <v>452</v>
      </c>
      <c r="D23" s="527">
        <f>XcgSans</f>
        <v>530</v>
      </c>
      <c r="E23" s="527" t="s">
        <v>38</v>
      </c>
      <c r="F23" s="528">
        <f>m_ail</f>
        <v>170</v>
      </c>
      <c r="G23" s="526">
        <f>m_can</f>
        <v>180</v>
      </c>
      <c r="I23" s="529" t="s">
        <v>448</v>
      </c>
      <c r="J23" s="528">
        <f>l_j</f>
        <v>0</v>
      </c>
      <c r="K23" s="526">
        <f>l_r</f>
        <v>0</v>
      </c>
      <c r="N23" s="75"/>
      <c r="O23" s="273"/>
      <c r="P23" s="436"/>
      <c r="Q23" s="48"/>
      <c r="R23" s="48"/>
      <c r="S23" s="48"/>
      <c r="T23" s="226"/>
      <c r="U23" s="436"/>
    </row>
    <row r="24" spans="2:21" x14ac:dyDescent="0.2">
      <c r="B24" s="74"/>
      <c r="C24" s="526" t="s">
        <v>440</v>
      </c>
      <c r="D24" s="526">
        <f>Long_tot</f>
        <v>992</v>
      </c>
      <c r="E24" s="527" t="s">
        <v>443</v>
      </c>
      <c r="F24" s="528">
        <f>n_ail</f>
        <v>80</v>
      </c>
      <c r="G24" s="526">
        <f>n_can</f>
        <v>80</v>
      </c>
      <c r="I24" s="529" t="s">
        <v>449</v>
      </c>
      <c r="J24" s="528">
        <f>D1j</f>
        <v>0</v>
      </c>
      <c r="K24" s="526">
        <f>D1r</f>
        <v>0</v>
      </c>
      <c r="N24" s="75"/>
      <c r="O24" s="273"/>
      <c r="P24" s="436"/>
      <c r="Q24" s="48"/>
      <c r="R24" s="48"/>
      <c r="S24" s="48"/>
      <c r="T24" s="226"/>
      <c r="U24" s="436"/>
    </row>
    <row r="25" spans="2:21" x14ac:dyDescent="0.2">
      <c r="B25" s="74"/>
      <c r="C25" s="526" t="s">
        <v>441</v>
      </c>
      <c r="D25" s="526">
        <f>XpropuRef</f>
        <v>942</v>
      </c>
      <c r="E25" s="527" t="s">
        <v>444</v>
      </c>
      <c r="F25" s="528">
        <f>p_ail</f>
        <v>120</v>
      </c>
      <c r="G25" s="526">
        <f>p_can</f>
        <v>160</v>
      </c>
      <c r="I25" s="529" t="s">
        <v>450</v>
      </c>
      <c r="J25" s="528">
        <f>D2j</f>
        <v>0</v>
      </c>
      <c r="K25" s="526">
        <f>D2r</f>
        <v>0</v>
      </c>
      <c r="N25" s="75"/>
      <c r="O25" s="273"/>
      <c r="P25" s="436"/>
      <c r="Q25" s="48"/>
      <c r="R25" s="48"/>
      <c r="S25" s="48"/>
      <c r="T25" s="226"/>
      <c r="U25" s="436"/>
    </row>
    <row r="26" spans="2:21" x14ac:dyDescent="0.2">
      <c r="B26" s="74"/>
      <c r="C26" s="526" t="s">
        <v>438</v>
      </c>
      <c r="D26" s="526">
        <f>D_ref</f>
        <v>84</v>
      </c>
      <c r="E26" s="527" t="s">
        <v>445</v>
      </c>
      <c r="F26" s="528">
        <f>E_ail</f>
        <v>107</v>
      </c>
      <c r="G26" s="526">
        <f>E_can</f>
        <v>110</v>
      </c>
      <c r="I26" s="529" t="s">
        <v>451</v>
      </c>
      <c r="J26" s="528">
        <f>X_j</f>
        <v>0</v>
      </c>
      <c r="K26" s="526">
        <f>X_r</f>
        <v>0</v>
      </c>
      <c r="N26" s="75"/>
      <c r="O26" s="273"/>
      <c r="P26" s="436"/>
      <c r="Q26" s="48"/>
      <c r="R26" s="48"/>
      <c r="S26" s="48"/>
      <c r="T26" s="226"/>
      <c r="U26" s="436"/>
    </row>
    <row r="27" spans="2:21" x14ac:dyDescent="0.2">
      <c r="B27" s="74"/>
      <c r="C27" s="526" t="s">
        <v>439</v>
      </c>
      <c r="D27" s="526">
        <f>Long_ogive</f>
        <v>252</v>
      </c>
      <c r="E27" s="527" t="s">
        <v>446</v>
      </c>
      <c r="F27" s="528">
        <f>X_ail</f>
        <v>942</v>
      </c>
      <c r="G27" s="526">
        <f>X_can</f>
        <v>1250</v>
      </c>
      <c r="H27" s="518"/>
      <c r="I27" s="3"/>
      <c r="J27" s="2"/>
      <c r="N27" s="75"/>
      <c r="O27" s="273"/>
      <c r="P27" s="436"/>
      <c r="Q27" s="48"/>
      <c r="R27" s="48"/>
      <c r="S27" s="48"/>
      <c r="T27" s="226"/>
      <c r="U27" s="436"/>
    </row>
    <row r="28" spans="2:21" ht="13.5" thickBot="1" x14ac:dyDescent="0.25">
      <c r="B28" s="74"/>
      <c r="E28" s="95"/>
      <c r="N28" s="75"/>
      <c r="O28" s="2"/>
      <c r="P28" s="6"/>
      <c r="Q28" s="2"/>
      <c r="R28" s="48"/>
      <c r="S28" s="48"/>
      <c r="T28" s="48"/>
      <c r="U28" s="436"/>
    </row>
    <row r="29" spans="2:21" ht="13.5" thickBot="1" x14ac:dyDescent="0.25">
      <c r="B29" s="74"/>
      <c r="C29" s="673" t="s">
        <v>141</v>
      </c>
      <c r="D29" s="673" t="s">
        <v>133</v>
      </c>
      <c r="E29" s="673" t="s">
        <v>134</v>
      </c>
      <c r="F29" s="673"/>
      <c r="G29" s="673"/>
      <c r="H29" s="672" t="s">
        <v>135</v>
      </c>
      <c r="I29" s="672"/>
      <c r="J29" s="672"/>
      <c r="K29" s="672"/>
      <c r="L29" s="673" t="s">
        <v>136</v>
      </c>
      <c r="M29" s="673" t="s">
        <v>137</v>
      </c>
      <c r="N29" s="75"/>
      <c r="O29" s="273" t="s">
        <v>430</v>
      </c>
      <c r="P29" s="441">
        <f>n_ail</f>
        <v>80</v>
      </c>
      <c r="Q29" s="2"/>
      <c r="R29" s="48"/>
      <c r="S29" s="48"/>
      <c r="T29" s="48"/>
      <c r="U29" s="12" t="s">
        <v>434</v>
      </c>
    </row>
    <row r="30" spans="2:21" ht="13.5" thickBot="1" x14ac:dyDescent="0.25">
      <c r="B30" s="74"/>
      <c r="C30" s="673"/>
      <c r="D30" s="673"/>
      <c r="E30" s="673"/>
      <c r="F30" s="673"/>
      <c r="G30" s="673"/>
      <c r="H30" s="672" t="s">
        <v>138</v>
      </c>
      <c r="I30" s="672"/>
      <c r="J30" s="69" t="s">
        <v>139</v>
      </c>
      <c r="K30" s="70" t="s">
        <v>140</v>
      </c>
      <c r="L30" s="673"/>
      <c r="M30" s="673"/>
      <c r="N30" s="75"/>
      <c r="P30" s="12"/>
      <c r="R30" s="48"/>
      <c r="S30" s="48"/>
      <c r="T30" s="226" t="s">
        <v>432</v>
      </c>
      <c r="U30" s="523">
        <f>[0]!p_can</f>
        <v>160</v>
      </c>
    </row>
    <row r="31" spans="2:21" ht="13.5" thickBot="1" x14ac:dyDescent="0.25">
      <c r="B31" s="74"/>
      <c r="C31" s="83">
        <f>Beta_rampe</f>
        <v>77.775282912698117</v>
      </c>
      <c r="D31" s="84">
        <f ca="1">Portee_balistique</f>
        <v>745.87074281998321</v>
      </c>
      <c r="E31" s="677">
        <f ca="1">T_para+Dt_para</f>
        <v>165.56300010946526</v>
      </c>
      <c r="F31" s="677"/>
      <c r="G31" s="677"/>
      <c r="H31" s="678">
        <f ca="1">Altitude_culmi</f>
        <v>1495.6316819301612</v>
      </c>
      <c r="I31" s="678"/>
      <c r="J31" s="85">
        <f ca="1">Temps_culmi</f>
        <v>15.699999999999921</v>
      </c>
      <c r="K31" s="86">
        <f ca="1">Vit_culmi</f>
        <v>21.071081359674572</v>
      </c>
      <c r="L31" s="84">
        <f ca="1">Acc_max</f>
        <v>44.642485084218293</v>
      </c>
      <c r="M31" s="86">
        <f ca="1">Vit_max</f>
        <v>192.80907482779753</v>
      </c>
      <c r="N31" s="75"/>
      <c r="O31" s="273" t="s">
        <v>436</v>
      </c>
      <c r="P31" s="441">
        <f>ep_ail</f>
        <v>3</v>
      </c>
      <c r="Q31" s="2"/>
      <c r="R31" s="48"/>
      <c r="S31" s="48"/>
      <c r="T31" s="226" t="s">
        <v>344</v>
      </c>
      <c r="U31" s="523">
        <f>[0]!m_can</f>
        <v>180</v>
      </c>
    </row>
    <row r="32" spans="2:21" ht="13.5" thickBot="1" x14ac:dyDescent="0.25">
      <c r="B32" s="74"/>
      <c r="C32" s="520"/>
      <c r="D32" s="242"/>
      <c r="E32" s="247"/>
      <c r="F32" s="247"/>
      <c r="G32" s="247"/>
      <c r="H32" s="283"/>
      <c r="I32" s="283"/>
      <c r="J32" s="247"/>
      <c r="K32" s="248"/>
      <c r="L32" s="242"/>
      <c r="M32" s="248"/>
      <c r="N32" s="75"/>
      <c r="O32" s="273" t="s">
        <v>435</v>
      </c>
      <c r="P32" s="522">
        <f>Q_ail</f>
        <v>4</v>
      </c>
      <c r="Q32" s="2"/>
      <c r="R32" s="48"/>
      <c r="S32" s="48"/>
      <c r="T32" s="226" t="s">
        <v>430</v>
      </c>
      <c r="U32" s="523">
        <f>[0]!n_can</f>
        <v>80</v>
      </c>
    </row>
    <row r="33" spans="2:21" ht="13.5" thickBot="1" x14ac:dyDescent="0.25">
      <c r="B33" s="74"/>
      <c r="D33" s="80"/>
      <c r="E33" s="81"/>
      <c r="F33" s="81"/>
      <c r="G33" s="81"/>
      <c r="H33" s="82"/>
      <c r="I33" s="82"/>
      <c r="J33" s="81"/>
      <c r="K33" s="76"/>
      <c r="L33" s="80"/>
      <c r="M33" s="76"/>
      <c r="N33" s="75"/>
      <c r="O33" s="2"/>
      <c r="Q33" s="2"/>
      <c r="R33" s="48"/>
      <c r="S33" s="48"/>
      <c r="T33" s="226" t="s">
        <v>431</v>
      </c>
      <c r="U33" s="523">
        <f>[0]!E_can</f>
        <v>110</v>
      </c>
    </row>
    <row r="34" spans="2:21" ht="13.5" thickBot="1" x14ac:dyDescent="0.25">
      <c r="B34" s="77"/>
      <c r="C34" s="78"/>
      <c r="D34" s="78"/>
      <c r="E34" s="78"/>
      <c r="F34" s="78"/>
      <c r="G34" s="78"/>
      <c r="H34" s="78"/>
      <c r="I34" s="78"/>
      <c r="J34" s="78"/>
      <c r="K34" s="78"/>
      <c r="L34" s="78"/>
      <c r="M34" s="78"/>
      <c r="N34" s="79"/>
      <c r="O34" s="2"/>
      <c r="P34" s="273" t="s">
        <v>431</v>
      </c>
      <c r="Q34" s="441">
        <f>E_ail</f>
        <v>107</v>
      </c>
      <c r="T34" s="226" t="s">
        <v>436</v>
      </c>
      <c r="U34" s="523">
        <f>[0]!ep_can</f>
        <v>4</v>
      </c>
    </row>
    <row r="35" spans="2:21" x14ac:dyDescent="0.2">
      <c r="O35" s="2"/>
      <c r="P35" s="6"/>
      <c r="Q35" s="6"/>
      <c r="T35" s="226" t="s">
        <v>435</v>
      </c>
      <c r="U35" s="523">
        <f>[0]!Q_can</f>
        <v>4</v>
      </c>
    </row>
    <row r="36" spans="2:21" ht="13.5" thickBot="1" x14ac:dyDescent="0.25">
      <c r="T36" s="2"/>
      <c r="U36" s="12"/>
    </row>
    <row r="37" spans="2:21" x14ac:dyDescent="0.2">
      <c r="B37" s="71"/>
      <c r="C37" s="72"/>
      <c r="D37" s="72"/>
      <c r="E37" s="72"/>
      <c r="F37" s="72"/>
      <c r="G37" s="72"/>
      <c r="H37" s="72"/>
      <c r="I37" s="72"/>
      <c r="J37" s="72"/>
      <c r="K37" s="72"/>
      <c r="L37" s="72"/>
      <c r="M37" s="72"/>
      <c r="N37" s="73"/>
      <c r="T37" s="2"/>
    </row>
    <row r="38" spans="2:21" x14ac:dyDescent="0.2">
      <c r="B38" s="74"/>
      <c r="D38" s="2" t="s">
        <v>195</v>
      </c>
      <c r="H38" s="273" t="s">
        <v>563</v>
      </c>
      <c r="I38" t="str">
        <f>Matricule</f>
        <v/>
      </c>
      <c r="N38" s="75"/>
    </row>
    <row r="39" spans="2:21" x14ac:dyDescent="0.2">
      <c r="B39" s="74"/>
      <c r="D39" s="2"/>
      <c r="N39" s="75"/>
    </row>
    <row r="40" spans="2:21" x14ac:dyDescent="0.2">
      <c r="B40" s="74"/>
      <c r="D40" s="275" t="s">
        <v>149</v>
      </c>
      <c r="E40" s="246">
        <f>D_ref</f>
        <v>84</v>
      </c>
      <c r="F40" s="265"/>
      <c r="G40" s="265"/>
      <c r="H40" s="261" t="s">
        <v>198</v>
      </c>
      <c r="I40" s="261" t="s">
        <v>199</v>
      </c>
      <c r="J40" s="262" t="s">
        <v>200</v>
      </c>
      <c r="N40" s="75"/>
    </row>
    <row r="41" spans="2:21" x14ac:dyDescent="0.2">
      <c r="B41" s="74"/>
      <c r="D41" s="276" t="s">
        <v>147</v>
      </c>
      <c r="E41" s="6">
        <f>Long_ogive</f>
        <v>252</v>
      </c>
      <c r="F41" s="2"/>
      <c r="G41" s="2" t="s">
        <v>201</v>
      </c>
      <c r="H41" s="6">
        <f>MasseSans</f>
        <v>2.895</v>
      </c>
      <c r="I41" s="6">
        <f ca="1">MasseVide</f>
        <v>2.9792999999999998</v>
      </c>
      <c r="J41" s="244">
        <f ca="1">MassePlein</f>
        <v>3.0548999999999999</v>
      </c>
      <c r="N41" s="75"/>
    </row>
    <row r="42" spans="2:21" x14ac:dyDescent="0.2">
      <c r="B42" s="74"/>
      <c r="D42" s="276" t="s">
        <v>150</v>
      </c>
      <c r="E42" s="6">
        <f>X_ail-m_ail</f>
        <v>772</v>
      </c>
      <c r="F42" s="255"/>
      <c r="G42" s="255" t="s">
        <v>218</v>
      </c>
      <c r="H42" s="263">
        <f>XcgSans</f>
        <v>530</v>
      </c>
      <c r="I42" s="263">
        <f ca="1">XcgVide</f>
        <v>538.43198066659954</v>
      </c>
      <c r="J42" s="245">
        <f ca="1">XcgPlein</f>
        <v>545.59795737994693</v>
      </c>
      <c r="N42" s="75"/>
    </row>
    <row r="43" spans="2:21" x14ac:dyDescent="0.2">
      <c r="B43" s="74"/>
      <c r="D43" s="276" t="str">
        <f>IF(Lang="Français","Emplanture 'm'",IF(Lang="English","Root edge  'm'",""))</f>
        <v>Emplanture 'm'</v>
      </c>
      <c r="E43" s="244">
        <f>m_ail</f>
        <v>170</v>
      </c>
      <c r="N43" s="75"/>
    </row>
    <row r="44" spans="2:21" x14ac:dyDescent="0.2">
      <c r="B44" s="74"/>
      <c r="D44" s="276" t="str">
        <f>IF(Lang="Français","Saumon      'n'",IF(Lang="English","Tip edge    'n'",""))</f>
        <v>Saumon      'n'</v>
      </c>
      <c r="E44" s="244">
        <f>n_ail</f>
        <v>80</v>
      </c>
      <c r="F44" s="246" t="s">
        <v>202</v>
      </c>
      <c r="G44" s="246" t="s">
        <v>207</v>
      </c>
      <c r="H44" s="668" t="e">
        <f ca="1">Vsortie_de_rampe</f>
        <v>#N/A</v>
      </c>
      <c r="I44" s="669"/>
      <c r="N44" s="75"/>
    </row>
    <row r="45" spans="2:21" x14ac:dyDescent="0.2">
      <c r="B45" s="74"/>
      <c r="D45" s="276" t="str">
        <f>IF(Lang="Français","Flèche        'p'",IF(Lang="English","Offset         'p'",""))</f>
        <v>Flèche        'p'</v>
      </c>
      <c r="E45" s="244">
        <f>p_ail</f>
        <v>120</v>
      </c>
      <c r="F45" s="6" t="s">
        <v>203</v>
      </c>
      <c r="G45" s="6" t="s">
        <v>208</v>
      </c>
      <c r="H45" s="670">
        <f>Finesse</f>
        <v>11.80952380952381</v>
      </c>
      <c r="I45" s="671"/>
      <c r="N45" s="75"/>
    </row>
    <row r="46" spans="2:21" x14ac:dyDescent="0.2">
      <c r="B46" s="74"/>
      <c r="D46" s="276" t="str">
        <f>IF(Lang="Français","Envergure   'E'",IF(Lang="English","Span          'E'",""))</f>
        <v>Envergure   'E'</v>
      </c>
      <c r="E46" s="244">
        <f>E_ail</f>
        <v>107</v>
      </c>
      <c r="F46" s="6" t="s">
        <v>204</v>
      </c>
      <c r="G46" s="6" t="s">
        <v>209</v>
      </c>
      <c r="H46" s="670">
        <f>Cn</f>
        <v>15.602161052846441</v>
      </c>
      <c r="I46" s="671"/>
      <c r="N46" s="75"/>
    </row>
    <row r="47" spans="2:21" x14ac:dyDescent="0.2">
      <c r="B47" s="74"/>
      <c r="D47" s="276" t="s">
        <v>144</v>
      </c>
      <c r="E47" s="244">
        <f>ep_ail</f>
        <v>3</v>
      </c>
      <c r="F47" s="6" t="s">
        <v>205</v>
      </c>
      <c r="G47" s="6" t="s">
        <v>210</v>
      </c>
      <c r="H47" s="247">
        <f ca="1">MS_min</f>
        <v>2.6598770163626191</v>
      </c>
      <c r="I47" s="254">
        <f ca="1">MS_max</f>
        <v>2.7451862629500878</v>
      </c>
      <c r="N47" s="75"/>
    </row>
    <row r="48" spans="2:21" x14ac:dyDescent="0.2">
      <c r="B48" s="74"/>
      <c r="D48" s="276" t="s">
        <v>145</v>
      </c>
      <c r="E48" s="244">
        <f>Q_ail</f>
        <v>4</v>
      </c>
      <c r="F48" s="274" t="s">
        <v>206</v>
      </c>
      <c r="G48" s="274" t="s">
        <v>211</v>
      </c>
      <c r="H48" s="256">
        <f ca="1">MS_Cn_min</f>
        <v>41.499829590054247</v>
      </c>
      <c r="I48" s="264">
        <f ca="1">MS_Cn_max</f>
        <v>42.83083819460893</v>
      </c>
      <c r="N48" s="75"/>
    </row>
    <row r="49" spans="2:14" x14ac:dyDescent="0.2">
      <c r="B49" s="74"/>
      <c r="D49" s="276" t="s">
        <v>148</v>
      </c>
      <c r="E49" s="244">
        <f ca="1">XpropuRef-Long_propu</f>
        <v>714</v>
      </c>
      <c r="N49" s="75"/>
    </row>
    <row r="50" spans="2:14" x14ac:dyDescent="0.2">
      <c r="B50" s="74"/>
      <c r="D50" s="276" t="s">
        <v>146</v>
      </c>
      <c r="E50" s="272" t="str">
        <f>Forme_ogive</f>
        <v>Conique (droite)</v>
      </c>
      <c r="F50" s="273" t="s">
        <v>183</v>
      </c>
      <c r="G50" s="275" t="s">
        <v>5</v>
      </c>
      <c r="H50" s="246">
        <f>Cx</f>
        <v>0.6</v>
      </c>
      <c r="I50" s="265"/>
      <c r="J50" s="266"/>
      <c r="N50" s="75"/>
    </row>
    <row r="51" spans="2:14" x14ac:dyDescent="0.2">
      <c r="B51" s="74"/>
      <c r="D51" s="276" t="s">
        <v>142</v>
      </c>
      <c r="E51" s="244">
        <f>Long_tot</f>
        <v>992</v>
      </c>
      <c r="G51" s="276" t="s">
        <v>212</v>
      </c>
      <c r="H51" s="6">
        <f>Sref</f>
        <v>6.8257694409323945E-3</v>
      </c>
      <c r="J51" s="267"/>
      <c r="N51" s="75"/>
    </row>
    <row r="52" spans="2:14" x14ac:dyDescent="0.2">
      <c r="B52" s="74"/>
      <c r="D52" s="276" t="s">
        <v>196</v>
      </c>
      <c r="E52" s="244">
        <f>MAX(D_ref,D_ail,D_og,(RIGHT(Nb_diam,1)=",")*MAX(D1j,D1r,D2j,D2r))</f>
        <v>84</v>
      </c>
      <c r="G52" s="276" t="s">
        <v>213</v>
      </c>
      <c r="H52" s="6">
        <f>Beta_rampe</f>
        <v>77.775282912698117</v>
      </c>
      <c r="I52" s="6">
        <v>80</v>
      </c>
      <c r="J52" s="244">
        <v>90</v>
      </c>
      <c r="N52" s="75"/>
    </row>
    <row r="53" spans="2:14" x14ac:dyDescent="0.2">
      <c r="B53" s="74"/>
      <c r="D53" s="277" t="s">
        <v>197</v>
      </c>
      <c r="E53" s="260">
        <f>E_ail*2+D_ail</f>
        <v>298</v>
      </c>
      <c r="G53" s="278" t="s">
        <v>215</v>
      </c>
      <c r="H53" s="247">
        <f ca="1">Temps_culmi</f>
        <v>15.699999999999921</v>
      </c>
      <c r="I53" s="259"/>
      <c r="J53" s="268"/>
      <c r="N53" s="75"/>
    </row>
    <row r="54" spans="2:14" x14ac:dyDescent="0.2">
      <c r="B54" s="74"/>
      <c r="G54" s="278" t="s">
        <v>216</v>
      </c>
      <c r="H54" s="242">
        <f ca="1">Altitude_culmi</f>
        <v>1495.6316819301612</v>
      </c>
      <c r="I54" s="259"/>
      <c r="J54" s="268"/>
      <c r="N54" s="75"/>
    </row>
    <row r="55" spans="2:14" x14ac:dyDescent="0.2">
      <c r="B55" s="74"/>
      <c r="C55" s="275" t="s">
        <v>233</v>
      </c>
      <c r="D55" s="249" t="s">
        <v>60</v>
      </c>
      <c r="E55" s="243">
        <f>Long_tot</f>
        <v>992</v>
      </c>
      <c r="G55" s="278" t="s">
        <v>217</v>
      </c>
      <c r="H55" s="248">
        <f ca="1">Vit_culmi</f>
        <v>21.071081359674572</v>
      </c>
      <c r="I55" s="259"/>
      <c r="J55" s="268"/>
      <c r="N55" s="75"/>
    </row>
    <row r="56" spans="2:14" x14ac:dyDescent="0.2">
      <c r="B56" s="74"/>
      <c r="C56" s="276"/>
      <c r="D56" s="2" t="s">
        <v>219</v>
      </c>
      <c r="E56" s="244">
        <f>MAX(D_ref,D_ail,D_og,(RIGHT(Nb_diam,1)=",")*MAX(D1j,D1r,D2j,D2r))</f>
        <v>84</v>
      </c>
      <c r="G56" s="278" t="s">
        <v>133</v>
      </c>
      <c r="H56" s="242">
        <f ca="1">Portee_balistique</f>
        <v>745.87074281998321</v>
      </c>
      <c r="I56" s="259"/>
      <c r="J56" s="268"/>
      <c r="N56" s="75"/>
    </row>
    <row r="57" spans="2:14" x14ac:dyDescent="0.2">
      <c r="B57" s="74"/>
      <c r="C57" s="276"/>
      <c r="D57" s="2" t="s">
        <v>220</v>
      </c>
      <c r="E57" s="244">
        <f>E_ail*2+D_ail</f>
        <v>298</v>
      </c>
      <c r="G57" s="278" t="s">
        <v>214</v>
      </c>
      <c r="H57" s="242">
        <f ca="1">T_balistique</f>
        <v>36.80000000000021</v>
      </c>
      <c r="I57" s="259"/>
      <c r="J57" s="268"/>
      <c r="N57" s="75"/>
    </row>
    <row r="58" spans="2:14" x14ac:dyDescent="0.2">
      <c r="B58" s="74"/>
      <c r="C58" s="276"/>
      <c r="D58" s="2" t="s">
        <v>221</v>
      </c>
      <c r="E58" s="244">
        <f ca="1">MassePlein</f>
        <v>3.0548999999999999</v>
      </c>
      <c r="G58" s="278" t="s">
        <v>137</v>
      </c>
      <c r="H58" s="248">
        <f ca="1">Vit_max</f>
        <v>192.80907482779753</v>
      </c>
      <c r="I58" s="259"/>
      <c r="J58" s="268"/>
      <c r="N58" s="75"/>
    </row>
    <row r="59" spans="2:14" x14ac:dyDescent="0.2">
      <c r="B59" s="74"/>
      <c r="C59" s="277" t="s">
        <v>234</v>
      </c>
      <c r="D59" s="255" t="s">
        <v>145</v>
      </c>
      <c r="E59" s="260">
        <f>Q_ail</f>
        <v>4</v>
      </c>
      <c r="G59" s="278" t="s">
        <v>136</v>
      </c>
      <c r="H59" s="242">
        <f ca="1">Acc_max</f>
        <v>44.642485084218293</v>
      </c>
      <c r="I59" s="259"/>
      <c r="J59" s="268"/>
      <c r="N59" s="75"/>
    </row>
    <row r="60" spans="2:14" x14ac:dyDescent="0.2">
      <c r="B60" s="74"/>
      <c r="C60" s="12"/>
      <c r="G60" s="269" t="s">
        <v>222</v>
      </c>
      <c r="H60" s="270"/>
      <c r="I60" s="270"/>
      <c r="J60" s="271"/>
      <c r="N60" s="75"/>
    </row>
    <row r="61" spans="2:14" x14ac:dyDescent="0.2">
      <c r="B61" s="74"/>
      <c r="C61" s="275"/>
      <c r="D61" s="249"/>
      <c r="E61" s="246" t="s">
        <v>226</v>
      </c>
      <c r="F61" s="243" t="s">
        <v>227</v>
      </c>
      <c r="G61" s="2"/>
      <c r="H61" s="2"/>
      <c r="I61" s="2"/>
      <c r="J61" s="2"/>
      <c r="K61" s="2"/>
      <c r="N61" s="75"/>
    </row>
    <row r="62" spans="2:14" x14ac:dyDescent="0.2">
      <c r="B62" s="74"/>
      <c r="C62" s="276" t="s">
        <v>235</v>
      </c>
      <c r="D62" s="2" t="s">
        <v>225</v>
      </c>
      <c r="E62" s="242">
        <f ca="1">2*Acc_max*MassePlein</f>
        <v>272.7566553675569</v>
      </c>
      <c r="F62" s="280">
        <f ca="1">E62/9.81</f>
        <v>27.803940404440048</v>
      </c>
      <c r="H62" s="2"/>
      <c r="I62" s="2"/>
      <c r="J62" s="2"/>
      <c r="K62" s="2"/>
      <c r="N62" s="75"/>
    </row>
    <row r="63" spans="2:14" x14ac:dyDescent="0.2">
      <c r="B63" s="74"/>
      <c r="C63" s="276"/>
      <c r="D63" s="2" t="s">
        <v>223</v>
      </c>
      <c r="E63" s="242">
        <f ca="1">2*Acc_max*Masse_ail</f>
        <v>7.1651188560170365</v>
      </c>
      <c r="F63" s="248">
        <f ca="1">E63/9.81</f>
        <v>0.73038928195892316</v>
      </c>
      <c r="G63" s="246" t="s">
        <v>229</v>
      </c>
      <c r="H63" s="288">
        <f>S_ail*(ep_ail/1000)*2000</f>
        <v>8.0250000000000002E-2</v>
      </c>
      <c r="I63" s="2"/>
      <c r="J63" s="2"/>
      <c r="K63" s="2"/>
      <c r="N63" s="75"/>
    </row>
    <row r="64" spans="2:14" x14ac:dyDescent="0.2">
      <c r="B64" s="74"/>
      <c r="C64" s="277"/>
      <c r="D64" s="255" t="s">
        <v>224</v>
      </c>
      <c r="E64" s="263">
        <f ca="1">0.104*S_ail*Vit_max^2</f>
        <v>51.710897016308152</v>
      </c>
      <c r="F64" s="281">
        <f ca="1">E64/9.81</f>
        <v>5.2712433248020538</v>
      </c>
      <c r="G64" s="274" t="s">
        <v>228</v>
      </c>
      <c r="H64" s="289">
        <f>(E_ail*(m_ail+n_ail)/2)/10^6</f>
        <v>1.3375E-2</v>
      </c>
      <c r="I64" s="2"/>
      <c r="J64" s="2"/>
      <c r="K64" s="2"/>
      <c r="N64" s="75"/>
    </row>
    <row r="65" spans="2:14" x14ac:dyDescent="0.2">
      <c r="B65" s="74"/>
      <c r="C65" s="282" t="s">
        <v>242</v>
      </c>
      <c r="D65" s="285" t="s">
        <v>240</v>
      </c>
      <c r="E65" s="286">
        <f ca="1">2*Acc_max*H65</f>
        <v>136.37832768377845</v>
      </c>
      <c r="F65" s="286">
        <f ca="1">E65/9.81</f>
        <v>13.901970202220024</v>
      </c>
      <c r="G65" s="287" t="s">
        <v>241</v>
      </c>
      <c r="H65" s="279">
        <f ca="1">E58/2</f>
        <v>1.52745</v>
      </c>
      <c r="I65" s="2"/>
      <c r="J65" s="2"/>
      <c r="K65" s="2"/>
      <c r="N65" s="75"/>
    </row>
    <row r="66" spans="2:14" x14ac:dyDescent="0.2">
      <c r="B66" s="74"/>
      <c r="C66" s="6"/>
      <c r="D66" s="2"/>
      <c r="E66" s="2"/>
      <c r="F66" s="2"/>
      <c r="G66" s="2"/>
      <c r="H66" s="2"/>
      <c r="I66" s="2"/>
      <c r="J66" s="2"/>
      <c r="K66" s="2"/>
      <c r="N66" s="75"/>
    </row>
    <row r="67" spans="2:14" x14ac:dyDescent="0.2">
      <c r="B67" s="74"/>
      <c r="F67" s="275" t="s">
        <v>232</v>
      </c>
      <c r="G67" s="249" t="s">
        <v>230</v>
      </c>
      <c r="H67" s="250">
        <f>T_para</f>
        <v>15.5</v>
      </c>
      <c r="I67" s="251">
        <f ca="1">Temps_culmi</f>
        <v>15.699999999999921</v>
      </c>
      <c r="J67" s="2"/>
      <c r="K67" s="2"/>
      <c r="N67" s="75"/>
    </row>
    <row r="68" spans="2:14" x14ac:dyDescent="0.2">
      <c r="B68" s="74"/>
      <c r="C68" s="6"/>
      <c r="D68" s="2"/>
      <c r="E68" s="2"/>
      <c r="F68" s="275" t="s">
        <v>231</v>
      </c>
      <c r="G68" s="249" t="s">
        <v>129</v>
      </c>
      <c r="H68" s="250">
        <f ca="1">V_para</f>
        <v>9.9653344657812006</v>
      </c>
      <c r="I68" s="251">
        <f>V_satellite</f>
        <v>10.960038730752361</v>
      </c>
      <c r="J68" s="2"/>
      <c r="K68" s="2"/>
      <c r="N68" s="75"/>
    </row>
    <row r="69" spans="2:14" x14ac:dyDescent="0.2">
      <c r="B69" s="74"/>
      <c r="C69" s="6"/>
      <c r="D69" s="2"/>
      <c r="E69" s="2"/>
      <c r="F69" s="276"/>
      <c r="G69" s="2" t="s">
        <v>237</v>
      </c>
      <c r="H69" s="247">
        <f>S_para</f>
        <v>0.48049999999999998</v>
      </c>
      <c r="I69" s="253">
        <f>S_satellite</f>
        <v>0.02</v>
      </c>
      <c r="J69" s="2"/>
      <c r="K69" s="2"/>
      <c r="N69" s="75"/>
    </row>
    <row r="70" spans="2:14" x14ac:dyDescent="0.2">
      <c r="B70" s="74"/>
      <c r="C70" s="226"/>
      <c r="D70" s="2"/>
      <c r="F70" s="276"/>
      <c r="G70" s="2" t="s">
        <v>236</v>
      </c>
      <c r="H70" s="247">
        <f ca="1">V_ouverture</f>
        <v>21.230512529713934</v>
      </c>
      <c r="I70" s="253">
        <f ca="1">V_ouv_sat</f>
        <v>169.52529899318822</v>
      </c>
      <c r="N70" s="75"/>
    </row>
    <row r="71" spans="2:14" x14ac:dyDescent="0.2">
      <c r="B71" s="74"/>
      <c r="C71" s="226"/>
      <c r="F71" s="276"/>
      <c r="G71" s="2" t="s">
        <v>201</v>
      </c>
      <c r="H71" s="247">
        <f ca="1">m_vide</f>
        <v>2.9792999999999998</v>
      </c>
      <c r="I71" s="253">
        <f>m_satellite</f>
        <v>0.15</v>
      </c>
      <c r="N71" s="75"/>
    </row>
    <row r="72" spans="2:14" x14ac:dyDescent="0.2">
      <c r="B72" s="74"/>
      <c r="C72" s="226"/>
      <c r="F72" s="276"/>
      <c r="G72" s="2" t="s">
        <v>238</v>
      </c>
      <c r="H72" s="283">
        <f ca="1">1/2*Rho_moyen*S_para*V_ouverture^2</f>
        <v>132.65402819897758</v>
      </c>
      <c r="I72" s="284">
        <f ca="1">1/2*Rho_moyen*S_satellite*V_ouv_sat^2</f>
        <v>352.05063073444086</v>
      </c>
      <c r="N72" s="75"/>
    </row>
    <row r="73" spans="2:14" x14ac:dyDescent="0.2">
      <c r="B73" s="74"/>
      <c r="D73" s="2"/>
      <c r="F73" s="277"/>
      <c r="G73" s="255" t="s">
        <v>239</v>
      </c>
      <c r="H73" s="256">
        <f ca="1">H72/9.81</f>
        <v>13.522327033534921</v>
      </c>
      <c r="I73" s="257">
        <f ca="1">I72/9.81</f>
        <v>35.886914447955235</v>
      </c>
      <c r="N73" s="75"/>
    </row>
    <row r="74" spans="2:14" ht="13.5" thickBot="1" x14ac:dyDescent="0.25">
      <c r="B74" s="77"/>
      <c r="C74" s="78"/>
      <c r="D74" s="78"/>
      <c r="E74" s="78"/>
      <c r="F74" s="78"/>
      <c r="G74" s="78"/>
      <c r="H74" s="78"/>
      <c r="I74" s="78"/>
      <c r="J74" s="78"/>
      <c r="K74" s="78"/>
      <c r="L74" s="78"/>
      <c r="M74" s="78"/>
      <c r="N74" s="79"/>
    </row>
    <row r="76" spans="2:14" ht="13.5" thickBot="1" x14ac:dyDescent="0.25"/>
    <row r="77" spans="2:14" x14ac:dyDescent="0.2">
      <c r="B77" s="71"/>
      <c r="C77" s="72"/>
      <c r="D77" s="72"/>
      <c r="E77" s="72"/>
      <c r="F77" s="72"/>
      <c r="G77" s="72"/>
      <c r="H77" s="72"/>
      <c r="I77" s="72"/>
      <c r="J77" s="72"/>
      <c r="K77" s="72"/>
      <c r="L77" s="72"/>
      <c r="M77" s="72"/>
      <c r="N77" s="73"/>
    </row>
    <row r="78" spans="2:14" x14ac:dyDescent="0.2">
      <c r="B78" s="74"/>
      <c r="D78" s="2" t="s">
        <v>333</v>
      </c>
      <c r="N78" s="75"/>
    </row>
    <row r="79" spans="2:14" ht="12.75" customHeight="1" x14ac:dyDescent="0.25">
      <c r="B79" s="74"/>
      <c r="E79" s="48"/>
      <c r="F79" s="48"/>
      <c r="G79" s="435" t="s">
        <v>339</v>
      </c>
      <c r="I79" s="448"/>
      <c r="J79" s="48"/>
      <c r="K79" s="48"/>
      <c r="N79" s="75"/>
    </row>
    <row r="80" spans="2:14" x14ac:dyDescent="0.2">
      <c r="B80" s="74"/>
      <c r="C80" s="275" t="s">
        <v>334</v>
      </c>
      <c r="D80" s="243" t="str">
        <f>Nom</f>
        <v>SP02-Alpha</v>
      </c>
      <c r="E80" s="48"/>
      <c r="F80" s="48"/>
      <c r="G80" s="48"/>
      <c r="H80" s="48"/>
      <c r="I80" s="48"/>
      <c r="J80" s="48"/>
      <c r="K80" s="48"/>
      <c r="N80" s="75"/>
    </row>
    <row r="81" spans="2:14" ht="13.5" thickBot="1" x14ac:dyDescent="0.25">
      <c r="B81" s="74"/>
      <c r="C81" s="276" t="s">
        <v>4</v>
      </c>
      <c r="D81" s="244" t="str">
        <f>Club</f>
        <v>L'AéroIPSA</v>
      </c>
      <c r="E81" s="48"/>
      <c r="F81" s="48"/>
      <c r="G81" s="48"/>
      <c r="H81" s="48"/>
      <c r="I81" s="48"/>
      <c r="J81" s="48"/>
      <c r="K81" s="48"/>
      <c r="N81" s="75"/>
    </row>
    <row r="82" spans="2:14" ht="13.5" thickBot="1" x14ac:dyDescent="0.25">
      <c r="B82" s="74"/>
      <c r="C82" s="432" t="s">
        <v>335</v>
      </c>
      <c r="D82" s="244" t="s">
        <v>14</v>
      </c>
      <c r="E82" s="273" t="s">
        <v>340</v>
      </c>
      <c r="F82" s="441">
        <f>Long_ogive</f>
        <v>252</v>
      </c>
      <c r="G82" s="48"/>
      <c r="H82" s="48"/>
      <c r="I82" s="48"/>
      <c r="J82" s="48"/>
      <c r="K82" s="48"/>
      <c r="N82" s="75"/>
    </row>
    <row r="83" spans="2:14" x14ac:dyDescent="0.2">
      <c r="B83" s="74"/>
      <c r="C83" s="277" t="s">
        <v>336</v>
      </c>
      <c r="D83" s="433">
        <f ca="1">TODAY()</f>
        <v>45957</v>
      </c>
      <c r="E83" s="48"/>
      <c r="F83" s="436"/>
      <c r="G83" s="48"/>
      <c r="H83" s="48"/>
      <c r="I83" s="48"/>
      <c r="J83" s="48"/>
      <c r="K83" s="48"/>
      <c r="N83" s="75"/>
    </row>
    <row r="84" spans="2:14" ht="13.5" thickBot="1" x14ac:dyDescent="0.25">
      <c r="B84" s="74"/>
      <c r="E84" s="48"/>
      <c r="F84" s="436"/>
      <c r="G84" s="48"/>
      <c r="H84" s="48"/>
      <c r="I84" s="48"/>
      <c r="J84" s="440">
        <f>IF(RIGHT(Nb_diam,1)=",", "", X_j)</f>
        <v>0</v>
      </c>
      <c r="K84" s="48"/>
      <c r="N84" s="75"/>
    </row>
    <row r="85" spans="2:14" ht="13.5" thickBot="1" x14ac:dyDescent="0.25">
      <c r="B85" s="74"/>
      <c r="C85" s="275" t="s">
        <v>337</v>
      </c>
      <c r="D85" s="243" t="str">
        <f>Propu</f>
        <v>Pandora (Pro24-6G BS)</v>
      </c>
      <c r="E85" s="273" t="s">
        <v>341</v>
      </c>
      <c r="F85" s="441">
        <f>D_og</f>
        <v>84</v>
      </c>
      <c r="G85" s="48"/>
      <c r="H85" s="48"/>
      <c r="I85" s="48"/>
      <c r="J85" s="436"/>
      <c r="K85" s="48"/>
      <c r="N85" s="75"/>
    </row>
    <row r="86" spans="2:14" x14ac:dyDescent="0.2">
      <c r="B86" s="74"/>
      <c r="C86" s="277" t="s">
        <v>338</v>
      </c>
      <c r="D86" s="260" t="s">
        <v>14</v>
      </c>
      <c r="E86" s="48"/>
      <c r="F86" s="436"/>
      <c r="G86" s="48"/>
      <c r="H86" s="48"/>
      <c r="I86" s="48"/>
      <c r="J86" s="440">
        <f>IF(RIGHT(Nb_diam,1)=",", "", X_r)</f>
        <v>0</v>
      </c>
      <c r="K86" s="48"/>
      <c r="N86" s="75"/>
    </row>
    <row r="87" spans="2:14" x14ac:dyDescent="0.2">
      <c r="B87" s="74"/>
      <c r="E87" s="48"/>
      <c r="F87" s="436"/>
      <c r="G87" s="48"/>
      <c r="H87" s="48"/>
      <c r="I87" s="48"/>
      <c r="J87" s="436"/>
      <c r="K87" s="48"/>
      <c r="N87" s="75"/>
    </row>
    <row r="88" spans="2:14" x14ac:dyDescent="0.2">
      <c r="B88" s="74"/>
      <c r="E88" s="48"/>
      <c r="F88" s="436"/>
      <c r="G88" s="48"/>
      <c r="H88" s="48"/>
      <c r="I88" s="48"/>
      <c r="J88" s="440">
        <f>IF(RIGHT(Nb_diam,1)=",", "", l_j)</f>
        <v>0</v>
      </c>
      <c r="K88" s="48"/>
      <c r="N88" s="75"/>
    </row>
    <row r="89" spans="2:14" ht="13.5" thickBot="1" x14ac:dyDescent="0.25">
      <c r="B89" s="74"/>
      <c r="E89" s="48"/>
      <c r="F89" s="436"/>
      <c r="G89" s="48"/>
      <c r="H89" s="48"/>
      <c r="I89" s="48"/>
      <c r="J89" s="436"/>
      <c r="K89" s="48"/>
      <c r="N89" s="75"/>
    </row>
    <row r="90" spans="2:14" ht="13.5" thickBot="1" x14ac:dyDescent="0.25">
      <c r="B90" s="74"/>
      <c r="E90" s="434" t="s">
        <v>342</v>
      </c>
      <c r="F90" s="440">
        <f>IF(RIGHT(Nb_diam,1)=",", "", D2j)</f>
        <v>0</v>
      </c>
      <c r="G90" s="48"/>
      <c r="H90" s="48"/>
      <c r="I90" s="48"/>
      <c r="J90" s="441">
        <f>X_ail-m_ail</f>
        <v>772</v>
      </c>
      <c r="K90" s="2"/>
      <c r="N90" s="75"/>
    </row>
    <row r="91" spans="2:14" x14ac:dyDescent="0.2">
      <c r="B91" s="74"/>
      <c r="E91" s="48"/>
      <c r="F91" s="436"/>
      <c r="G91" s="48"/>
      <c r="H91" s="48"/>
      <c r="I91" s="48"/>
      <c r="J91" s="436"/>
      <c r="K91" s="48"/>
      <c r="N91" s="75"/>
    </row>
    <row r="92" spans="2:14" x14ac:dyDescent="0.2">
      <c r="B92" s="74"/>
      <c r="E92" s="48"/>
      <c r="F92" s="436"/>
      <c r="G92" s="48"/>
      <c r="H92" s="48"/>
      <c r="I92" s="48"/>
      <c r="J92" s="440">
        <f>IF(RIGHT(Nb_diam,1)=",", "", l_r)</f>
        <v>0</v>
      </c>
      <c r="K92" s="48"/>
      <c r="N92" s="75"/>
    </row>
    <row r="93" spans="2:14" x14ac:dyDescent="0.2">
      <c r="B93" s="74"/>
      <c r="E93" s="48"/>
      <c r="F93" s="436"/>
      <c r="G93" s="48"/>
      <c r="H93" s="48"/>
      <c r="I93" s="48"/>
      <c r="J93" s="436"/>
      <c r="K93" s="48"/>
      <c r="N93" s="75"/>
    </row>
    <row r="94" spans="2:14" x14ac:dyDescent="0.2">
      <c r="B94" s="74"/>
      <c r="E94" s="434" t="s">
        <v>343</v>
      </c>
      <c r="F94" s="440">
        <f>IF(RIGHT(Nb_diam,1)=",", "", D2r)</f>
        <v>0</v>
      </c>
      <c r="G94" s="48"/>
      <c r="H94" s="48"/>
      <c r="I94" s="48"/>
      <c r="J94" s="436"/>
      <c r="K94" s="48"/>
      <c r="N94" s="75"/>
    </row>
    <row r="95" spans="2:14" x14ac:dyDescent="0.2">
      <c r="B95" s="74"/>
      <c r="E95" s="48"/>
      <c r="F95" s="436"/>
      <c r="G95" s="48"/>
      <c r="H95" s="48"/>
      <c r="I95" s="48"/>
      <c r="J95" s="436"/>
      <c r="K95" s="48"/>
      <c r="N95" s="75"/>
    </row>
    <row r="96" spans="2:14" ht="13.5" thickBot="1" x14ac:dyDescent="0.25">
      <c r="B96" s="74"/>
      <c r="E96" s="48"/>
      <c r="F96" s="436"/>
      <c r="G96" s="48"/>
      <c r="H96" s="48"/>
      <c r="I96" s="48"/>
      <c r="J96" s="436"/>
      <c r="K96" s="48"/>
      <c r="N96" s="75"/>
    </row>
    <row r="97" spans="2:14" ht="13.5" thickBot="1" x14ac:dyDescent="0.25">
      <c r="B97" s="74"/>
      <c r="E97" s="273" t="s">
        <v>344</v>
      </c>
      <c r="F97" s="441">
        <f>m_ail</f>
        <v>170</v>
      </c>
      <c r="G97" s="48"/>
      <c r="H97" s="48"/>
      <c r="I97" s="48"/>
      <c r="J97" s="441">
        <f>p_ail</f>
        <v>120</v>
      </c>
      <c r="K97" s="2"/>
      <c r="N97" s="75"/>
    </row>
    <row r="98" spans="2:14" x14ac:dyDescent="0.2">
      <c r="B98" s="74"/>
      <c r="E98" s="48"/>
      <c r="F98" s="48"/>
      <c r="G98" s="48"/>
      <c r="H98" s="48"/>
      <c r="I98" s="48"/>
      <c r="J98" s="436"/>
      <c r="K98" s="48"/>
      <c r="N98" s="75"/>
    </row>
    <row r="99" spans="2:14" x14ac:dyDescent="0.2">
      <c r="B99" s="74"/>
      <c r="E99" s="48"/>
      <c r="F99" s="48"/>
      <c r="G99" s="48"/>
      <c r="H99" s="48"/>
      <c r="I99" s="48"/>
      <c r="J99" s="436"/>
      <c r="K99" s="48"/>
      <c r="N99" s="75"/>
    </row>
    <row r="100" spans="2:14" ht="13.5" thickBot="1" x14ac:dyDescent="0.25">
      <c r="B100" s="74"/>
      <c r="D100" s="429" t="s">
        <v>346</v>
      </c>
      <c r="E100" s="246">
        <f>Q_ail</f>
        <v>4</v>
      </c>
      <c r="F100" s="430"/>
      <c r="G100" s="48"/>
      <c r="H100" s="48"/>
      <c r="I100" s="48"/>
      <c r="J100" s="436"/>
      <c r="K100" s="48"/>
      <c r="N100" s="75"/>
    </row>
    <row r="101" spans="2:14" ht="13.5" thickBot="1" x14ac:dyDescent="0.25">
      <c r="B101" s="74"/>
      <c r="D101" s="437" t="s">
        <v>350</v>
      </c>
      <c r="E101" s="6">
        <f ca="1">XpropuRef-Long_propu</f>
        <v>714</v>
      </c>
      <c r="F101" s="252"/>
      <c r="G101" s="48"/>
      <c r="H101" s="48"/>
      <c r="I101" s="48"/>
      <c r="J101" s="441">
        <f>n_ail</f>
        <v>80</v>
      </c>
      <c r="K101" s="2"/>
      <c r="N101" s="75"/>
    </row>
    <row r="102" spans="2:14" x14ac:dyDescent="0.2">
      <c r="B102" s="74"/>
      <c r="D102" s="437" t="s">
        <v>347</v>
      </c>
      <c r="E102" s="6">
        <f>IF(LEFT(Forme_ogive,4)="Ogiv",1,0)</f>
        <v>0</v>
      </c>
      <c r="F102" s="252" t="s">
        <v>348</v>
      </c>
      <c r="G102" s="48"/>
      <c r="H102" s="48"/>
      <c r="I102" s="48"/>
      <c r="J102" s="436"/>
      <c r="K102" s="48"/>
      <c r="N102" s="75"/>
    </row>
    <row r="103" spans="2:14" x14ac:dyDescent="0.2">
      <c r="B103" s="74"/>
      <c r="D103" s="437"/>
      <c r="E103" s="6">
        <f>IF(LEFT(Forme_ogive,3)="Con",1,0)</f>
        <v>1</v>
      </c>
      <c r="F103" s="252" t="s">
        <v>159</v>
      </c>
      <c r="G103" s="48"/>
      <c r="H103" s="48"/>
      <c r="I103" s="48"/>
      <c r="J103" s="436"/>
      <c r="K103" s="48"/>
      <c r="N103" s="75"/>
    </row>
    <row r="104" spans="2:14" ht="13.5" thickBot="1" x14ac:dyDescent="0.25">
      <c r="B104" s="74"/>
      <c r="D104" s="431"/>
      <c r="E104" s="274">
        <f>IF(LEFT(Forme_ogive,5)="Parab",1,0)</f>
        <v>0</v>
      </c>
      <c r="F104" s="289" t="s">
        <v>349</v>
      </c>
      <c r="G104" s="48"/>
      <c r="H104" s="48"/>
      <c r="I104" s="48"/>
      <c r="J104" s="12" t="s">
        <v>345</v>
      </c>
      <c r="K104" s="48"/>
      <c r="N104" s="75"/>
    </row>
    <row r="105" spans="2:14" ht="13.5" thickBot="1" x14ac:dyDescent="0.25">
      <c r="B105" s="74"/>
      <c r="D105" s="2"/>
      <c r="E105" s="2"/>
      <c r="F105" s="2"/>
      <c r="G105" s="273"/>
      <c r="H105" s="441">
        <f>E_ail</f>
        <v>107</v>
      </c>
      <c r="I105" s="273"/>
      <c r="J105" s="441">
        <f>ep_ail</f>
        <v>3</v>
      </c>
      <c r="K105" s="48"/>
      <c r="N105" s="75"/>
    </row>
    <row r="106" spans="2:14" x14ac:dyDescent="0.2">
      <c r="B106" s="74"/>
      <c r="D106" s="429"/>
      <c r="E106" s="246" t="s">
        <v>354</v>
      </c>
      <c r="F106" s="243" t="s">
        <v>353</v>
      </c>
      <c r="N106" s="75"/>
    </row>
    <row r="107" spans="2:14" x14ac:dyDescent="0.2">
      <c r="B107" s="74"/>
      <c r="D107" s="437" t="s">
        <v>351</v>
      </c>
      <c r="E107" s="6">
        <f>MasseSans</f>
        <v>2.895</v>
      </c>
      <c r="F107" s="244">
        <f ca="1">MassePlein</f>
        <v>3.0548999999999999</v>
      </c>
      <c r="N107" s="75"/>
    </row>
    <row r="108" spans="2:14" x14ac:dyDescent="0.2">
      <c r="B108" s="74"/>
      <c r="D108" s="431" t="s">
        <v>352</v>
      </c>
      <c r="E108" s="274">
        <f>XcgSans</f>
        <v>530</v>
      </c>
      <c r="F108" s="260">
        <f ca="1">XcgPlein</f>
        <v>545.59795737994693</v>
      </c>
      <c r="N108" s="75"/>
    </row>
    <row r="109" spans="2:14" x14ac:dyDescent="0.2">
      <c r="B109" s="74"/>
      <c r="N109" s="75"/>
    </row>
    <row r="110" spans="2:14" x14ac:dyDescent="0.2">
      <c r="B110" s="74"/>
      <c r="D110" s="438" t="s">
        <v>355</v>
      </c>
      <c r="E110" s="439">
        <f ca="1">MasseVide</f>
        <v>2.9792999999999998</v>
      </c>
      <c r="G110" s="429" t="s">
        <v>356</v>
      </c>
      <c r="H110" s="265"/>
      <c r="I110" s="265"/>
      <c r="J110" s="266"/>
      <c r="N110" s="75"/>
    </row>
    <row r="111" spans="2:14" x14ac:dyDescent="0.2">
      <c r="B111" s="74"/>
      <c r="G111" s="276" t="s">
        <v>213</v>
      </c>
      <c r="H111" s="6">
        <f>Beta_rampe</f>
        <v>77.775282912698117</v>
      </c>
      <c r="I111" s="6">
        <v>80</v>
      </c>
      <c r="J111" s="244">
        <v>90</v>
      </c>
      <c r="N111" s="75"/>
    </row>
    <row r="112" spans="2:14" x14ac:dyDescent="0.2">
      <c r="B112" s="74"/>
      <c r="G112" s="278" t="s">
        <v>215</v>
      </c>
      <c r="H112" s="247">
        <f ca="1">Temps_culmi</f>
        <v>15.699999999999921</v>
      </c>
      <c r="I112" s="259"/>
      <c r="J112" s="268"/>
      <c r="N112" s="75"/>
    </row>
    <row r="113" spans="2:14" ht="12.75" customHeight="1" x14ac:dyDescent="0.25">
      <c r="B113" s="74"/>
      <c r="D113" s="435" t="s">
        <v>357</v>
      </c>
      <c r="E113" s="48"/>
      <c r="G113" s="278" t="s">
        <v>216</v>
      </c>
      <c r="H113" s="242">
        <f ca="1">Altitude_culmi</f>
        <v>1495.6316819301612</v>
      </c>
      <c r="I113" s="259"/>
      <c r="J113" s="268"/>
      <c r="N113" s="75"/>
    </row>
    <row r="114" spans="2:14" ht="12.75" customHeight="1" x14ac:dyDescent="0.25">
      <c r="B114" s="74"/>
      <c r="D114" s="48"/>
      <c r="E114" s="48"/>
      <c r="F114" s="435"/>
      <c r="G114" s="278" t="s">
        <v>217</v>
      </c>
      <c r="H114" s="248">
        <f ca="1">Vit_culmi</f>
        <v>21.071081359674572</v>
      </c>
      <c r="I114" s="259"/>
      <c r="J114" s="268"/>
      <c r="N114" s="75"/>
    </row>
    <row r="115" spans="2:14" x14ac:dyDescent="0.2">
      <c r="B115" s="74"/>
      <c r="C115" s="429" t="s">
        <v>358</v>
      </c>
      <c r="D115" s="249"/>
      <c r="E115" s="446">
        <v>0.1</v>
      </c>
      <c r="G115" s="278" t="s">
        <v>133</v>
      </c>
      <c r="H115" s="242">
        <f ca="1">Portee_balistique</f>
        <v>745.87074281998321</v>
      </c>
      <c r="I115" s="259"/>
      <c r="J115" s="268"/>
      <c r="N115" s="75"/>
    </row>
    <row r="116" spans="2:14" ht="12.75" customHeight="1" x14ac:dyDescent="0.2">
      <c r="B116" s="74"/>
      <c r="C116" s="431" t="s">
        <v>359</v>
      </c>
      <c r="D116" s="255"/>
      <c r="E116" s="447">
        <f>E_ail*(m_ail+n_ail)/2</f>
        <v>13375</v>
      </c>
      <c r="G116" s="278" t="s">
        <v>137</v>
      </c>
      <c r="H116" s="248">
        <f ca="1">Vit_max</f>
        <v>192.80907482779753</v>
      </c>
      <c r="I116" s="259"/>
      <c r="J116" s="268"/>
      <c r="N116" s="75"/>
    </row>
    <row r="117" spans="2:14" ht="12.75" customHeight="1" x14ac:dyDescent="0.2">
      <c r="B117" s="74"/>
      <c r="D117" s="48"/>
      <c r="E117" s="48"/>
      <c r="F117" s="48"/>
      <c r="G117" s="278" t="s">
        <v>136</v>
      </c>
      <c r="H117" s="242">
        <f ca="1">Acc_max</f>
        <v>44.642485084218293</v>
      </c>
      <c r="I117" s="259"/>
      <c r="J117" s="268"/>
      <c r="N117" s="75"/>
    </row>
    <row r="118" spans="2:14" x14ac:dyDescent="0.2">
      <c r="B118" s="74"/>
      <c r="C118" s="429" t="s">
        <v>360</v>
      </c>
      <c r="D118" s="249"/>
      <c r="E118" s="457"/>
      <c r="F118" s="458">
        <f>J90/100</f>
        <v>7.72</v>
      </c>
      <c r="G118" s="276" t="s">
        <v>5</v>
      </c>
      <c r="H118" s="6">
        <f>Cx</f>
        <v>0.6</v>
      </c>
      <c r="I118" s="259"/>
      <c r="J118" s="268"/>
      <c r="N118" s="75"/>
    </row>
    <row r="119" spans="2:14" x14ac:dyDescent="0.2">
      <c r="B119" s="74"/>
      <c r="C119" s="437" t="s">
        <v>361</v>
      </c>
      <c r="D119" s="2"/>
      <c r="E119" s="459">
        <f ca="1">2*Acc_max*MasseSans</f>
        <v>258.47998863762393</v>
      </c>
      <c r="F119" s="460">
        <f ca="1">E119/g</f>
        <v>26.34862269496676</v>
      </c>
      <c r="G119" s="269" t="s">
        <v>222</v>
      </c>
      <c r="H119" s="270"/>
      <c r="I119" s="270"/>
      <c r="J119" s="271"/>
      <c r="N119" s="75"/>
    </row>
    <row r="120" spans="2:14" x14ac:dyDescent="0.2">
      <c r="B120" s="74"/>
      <c r="C120" s="437" t="s">
        <v>362</v>
      </c>
      <c r="D120" s="2"/>
      <c r="E120" s="459">
        <f ca="1">2*Acc_max*E115</f>
        <v>8.928497016843659</v>
      </c>
      <c r="F120" s="460">
        <f ca="1">E120/g</f>
        <v>0.91014240742544938</v>
      </c>
      <c r="N120" s="75"/>
    </row>
    <row r="121" spans="2:14" x14ac:dyDescent="0.2">
      <c r="B121" s="74"/>
      <c r="C121" s="431" t="s">
        <v>363</v>
      </c>
      <c r="D121" s="255"/>
      <c r="E121" s="452">
        <f ca="1">0.104*E116/1000000*Vit_max^2</f>
        <v>51.710897016308159</v>
      </c>
      <c r="F121" s="453">
        <f ca="1">E121/g</f>
        <v>5.2712433248020547</v>
      </c>
      <c r="G121" s="48"/>
      <c r="H121" s="48"/>
      <c r="I121" s="48"/>
      <c r="J121" s="48"/>
      <c r="N121" s="75"/>
    </row>
    <row r="122" spans="2:14" ht="12.75" customHeight="1" x14ac:dyDescent="0.2">
      <c r="B122" s="74"/>
      <c r="H122" s="48"/>
      <c r="I122" s="48"/>
      <c r="J122" s="48"/>
      <c r="N122" s="75"/>
    </row>
    <row r="123" spans="2:14" ht="12.75" customHeight="1" x14ac:dyDescent="0.25">
      <c r="B123" s="74"/>
      <c r="G123" s="435"/>
      <c r="H123" s="435"/>
      <c r="I123" s="435"/>
      <c r="J123" s="48"/>
      <c r="N123" s="75"/>
    </row>
    <row r="124" spans="2:14" ht="12.75" customHeight="1" x14ac:dyDescent="0.25">
      <c r="B124" s="74"/>
      <c r="C124" s="48"/>
      <c r="D124" s="435" t="s">
        <v>364</v>
      </c>
      <c r="E124" s="448"/>
      <c r="J124" s="48"/>
      <c r="K124" s="48"/>
      <c r="N124" s="75"/>
    </row>
    <row r="125" spans="2:14" x14ac:dyDescent="0.2">
      <c r="B125" s="74"/>
      <c r="C125" s="445" t="s">
        <v>365</v>
      </c>
      <c r="J125" s="48"/>
      <c r="K125" s="48"/>
      <c r="N125" s="75"/>
    </row>
    <row r="126" spans="2:14" x14ac:dyDescent="0.2">
      <c r="B126" s="74"/>
      <c r="C126" s="429" t="s">
        <v>366</v>
      </c>
      <c r="D126" s="249"/>
      <c r="E126" s="449">
        <v>4</v>
      </c>
      <c r="G126" s="48"/>
      <c r="J126" s="48"/>
      <c r="N126" s="75"/>
    </row>
    <row r="127" spans="2:14" x14ac:dyDescent="0.2">
      <c r="B127" s="74"/>
      <c r="C127" s="431" t="s">
        <v>367</v>
      </c>
      <c r="D127" s="255"/>
      <c r="E127" s="456">
        <f>S_para</f>
        <v>0.48049999999999998</v>
      </c>
      <c r="G127" s="48"/>
      <c r="J127" s="48"/>
      <c r="N127" s="75"/>
    </row>
    <row r="128" spans="2:14" x14ac:dyDescent="0.2">
      <c r="B128" s="74"/>
      <c r="C128" s="681" t="s">
        <v>368</v>
      </c>
      <c r="D128" s="682"/>
      <c r="E128" s="450">
        <f ca="1">0.5*Rho_moyen*S_para*Vit_culmi^2</f>
        <v>130.66917016314662</v>
      </c>
      <c r="F128" s="451">
        <f ca="1">E128/g</f>
        <v>13.319996958526668</v>
      </c>
      <c r="H128" s="48"/>
      <c r="I128" s="48"/>
      <c r="J128" s="48"/>
      <c r="K128" s="48"/>
      <c r="N128" s="75"/>
    </row>
    <row r="129" spans="2:14" x14ac:dyDescent="0.2">
      <c r="B129" s="74"/>
      <c r="C129" s="679" t="s">
        <v>369</v>
      </c>
      <c r="D129" s="680"/>
      <c r="E129" s="452">
        <f ca="1">E128/E126*2</f>
        <v>65.334585081573309</v>
      </c>
      <c r="F129" s="453">
        <f ca="1">E129/g</f>
        <v>6.6599984792633338</v>
      </c>
      <c r="H129" s="48"/>
      <c r="I129" s="48"/>
      <c r="J129" s="48"/>
      <c r="K129" s="48"/>
      <c r="N129" s="75"/>
    </row>
    <row r="130" spans="2:14" x14ac:dyDescent="0.2">
      <c r="B130" s="74"/>
      <c r="C130" s="47"/>
      <c r="D130" s="47"/>
      <c r="E130" s="443"/>
      <c r="F130" s="444"/>
      <c r="H130" s="48"/>
      <c r="I130" s="48"/>
      <c r="J130" s="48"/>
      <c r="K130" s="48"/>
      <c r="N130" s="75"/>
    </row>
    <row r="131" spans="2:14" x14ac:dyDescent="0.2">
      <c r="B131" s="74"/>
      <c r="C131" s="445" t="s">
        <v>370</v>
      </c>
      <c r="D131" s="48"/>
      <c r="E131" s="48"/>
      <c r="F131" s="48"/>
      <c r="G131" s="48"/>
      <c r="H131" s="48"/>
      <c r="I131" s="48"/>
      <c r="J131" s="48"/>
      <c r="K131" s="48"/>
      <c r="N131" s="75"/>
    </row>
    <row r="132" spans="2:14" x14ac:dyDescent="0.2">
      <c r="B132" s="74"/>
      <c r="C132" s="681" t="s">
        <v>371</v>
      </c>
      <c r="D132" s="682"/>
      <c r="E132" s="454">
        <v>1</v>
      </c>
      <c r="F132" s="48"/>
      <c r="G132" s="48"/>
      <c r="H132" s="48"/>
      <c r="I132" s="48"/>
      <c r="J132" s="442"/>
      <c r="K132" s="48"/>
      <c r="N132" s="75"/>
    </row>
    <row r="133" spans="2:14" x14ac:dyDescent="0.2">
      <c r="B133" s="74"/>
      <c r="C133" s="679" t="s">
        <v>372</v>
      </c>
      <c r="D133" s="680"/>
      <c r="E133" s="455">
        <f ca="1">2*E132*Acc_max/g</f>
        <v>9.1014240742544938</v>
      </c>
      <c r="F133" s="48"/>
      <c r="G133" s="48"/>
      <c r="H133" s="48"/>
      <c r="I133" s="48"/>
      <c r="J133" s="48"/>
      <c r="K133" s="48"/>
      <c r="N133" s="75"/>
    </row>
    <row r="134" spans="2:14" ht="13.5" thickBot="1" x14ac:dyDescent="0.2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C133:D133"/>
    <mergeCell ref="C128:D128"/>
    <mergeCell ref="C129:D129"/>
    <mergeCell ref="C132:D132"/>
    <mergeCell ref="H44:I44"/>
    <mergeCell ref="H45:I45"/>
    <mergeCell ref="H46:I46"/>
    <mergeCell ref="E31:G31"/>
    <mergeCell ref="M29:M30"/>
    <mergeCell ref="H30:I30"/>
    <mergeCell ref="L29:L30"/>
    <mergeCell ref="H31:I31"/>
    <mergeCell ref="H11:I11"/>
    <mergeCell ref="H12:I12"/>
    <mergeCell ref="H13:I13"/>
    <mergeCell ref="H29:K29"/>
    <mergeCell ref="C29:C30"/>
    <mergeCell ref="D29:D30"/>
    <mergeCell ref="H17:I17"/>
    <mergeCell ref="H18:I18"/>
    <mergeCell ref="H19:I19"/>
    <mergeCell ref="E29:G30"/>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216</vt:i4>
      </vt:variant>
    </vt:vector>
  </HeadingPairs>
  <TitlesOfParts>
    <vt:vector size="224"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Alexis Paillard</cp:lastModifiedBy>
  <cp:lastPrinted>2011-11-08T21:12:34Z</cp:lastPrinted>
  <dcterms:created xsi:type="dcterms:W3CDTF">2008-11-03T20:48:06Z</dcterms:created>
  <dcterms:modified xsi:type="dcterms:W3CDTF">2025-10-27T18:58:12Z</dcterms:modified>
</cp:coreProperties>
</file>